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updateLinks="never" codeName="ThisWorkbook" defaultThemeVersion="166925"/>
  <mc:AlternateContent xmlns:mc="http://schemas.openxmlformats.org/markup-compatibility/2006">
    <mc:Choice Requires="x15">
      <x15ac:absPath xmlns:x15ac="http://schemas.microsoft.com/office/spreadsheetml/2010/11/ac" url="C:\Users\hardik.malhotra\Desktop\Desktop Data\NEW Opal\"/>
    </mc:Choice>
  </mc:AlternateContent>
  <xr:revisionPtr revIDLastSave="0" documentId="13_ncr:1_{96212D40-0B83-45BB-9E37-68D2FFBAA55E}" xr6:coauthVersionLast="47" xr6:coauthVersionMax="47" xr10:uidLastSave="{00000000-0000-0000-0000-000000000000}"/>
  <bookViews>
    <workbookView xWindow="-120" yWindow="-120" windowWidth="20730" windowHeight="11160" tabRatio="917" activeTab="2" xr2:uid="{00000000-000D-0000-FFFF-FFFF00000000}"/>
  </bookViews>
  <sheets>
    <sheet name="Cover Page" sheetId="20" r:id="rId1"/>
    <sheet name="Sheet3" sheetId="99" state="hidden" r:id="rId2"/>
    <sheet name="Dashboard" sheetId="98" r:id="rId3"/>
    <sheet name="Background and Option Evaluated" sheetId="89" r:id="rId4"/>
    <sheet name="Scenario Phenol" sheetId="90" state="hidden" r:id="rId5"/>
    <sheet name="Financial Model (84 Months)" sheetId="88" r:id="rId6"/>
    <sheet name="Feed" sheetId="47" r:id="rId7"/>
    <sheet name="Products Output" sheetId="82" r:id="rId8"/>
    <sheet name="Cracker Yields" sheetId="52" r:id="rId9"/>
    <sheet name="Financial Model High Ethane" sheetId="106" r:id="rId10"/>
    <sheet name="Financial Model High Propane" sheetId="72" r:id="rId11"/>
    <sheet name="Financial Model Base Case" sheetId="83" r:id="rId12"/>
    <sheet name="Net Change in Margin" sheetId="86" r:id="rId13"/>
    <sheet name="Sales" sheetId="51" r:id="rId14"/>
    <sheet name="Capex" sheetId="16" r:id="rId15"/>
    <sheet name="Opex PVC" sheetId="100" r:id="rId16"/>
    <sheet name="Cashflow 350 KTPA" sheetId="39" r:id="rId17"/>
    <sheet name="Cashflow 500 KTPA" sheetId="66" r:id="rId18"/>
    <sheet name="Cashflow 500KT EDC VCM Cracking" sheetId="80" r:id="rId19"/>
    <sheet name="Cashflow - PVC Phenol Ethane" sheetId="105" r:id="rId20"/>
    <sheet name="Cashflow - PVC Phenol Propane" sheetId="77" r:id="rId21"/>
    <sheet name="Cashflow Phenol" sheetId="78" r:id="rId22"/>
    <sheet name="Salaries &amp; Wages Calculations" sheetId="12" r:id="rId23"/>
    <sheet name="Profitability" sheetId="56" r:id="rId24"/>
    <sheet name="Sensitivity-Profitability" sheetId="81" r:id="rId25"/>
    <sheet name="Annual COP" sheetId="17" state="hidden" r:id="rId26"/>
    <sheet name="Opex Phenol" sheetId="79" state="hidden" r:id="rId27"/>
    <sheet name="Profitability - Current" sheetId="91" r:id="rId28"/>
    <sheet name=" Break EvenPoint" sheetId="57" r:id="rId29"/>
    <sheet name="BEP Sensitivity-350 KTPA" sheetId="67" r:id="rId30"/>
    <sheet name="BEP Sensitivity-500 KTPA" sheetId="74" r:id="rId31"/>
    <sheet name=" Profitabilty_PVC Phenol (2 (3)" sheetId="102" state="hidden" r:id="rId32"/>
    <sheet name=" Profitabilty_PVC Phenol (3)" sheetId="103" state="hidden" r:id="rId33"/>
    <sheet name=" Profitabilty_PVC Phenol" sheetId="95" r:id="rId34"/>
    <sheet name="Sensitivity_PVC Phenol" sheetId="96" r:id="rId35"/>
    <sheet name="Cashflow Current" sheetId="94" r:id="rId36"/>
    <sheet name="Sensitivity-Profit Current Case" sheetId="92" r:id="rId37"/>
    <sheet name="Sensitivity Current Case" sheetId="93" r:id="rId38"/>
    <sheet name=" Profitabilty_PVC Phenol 1" sheetId="101" state="hidden" r:id="rId39"/>
    <sheet name="DSCR-350 KTPA" sheetId="58" r:id="rId40"/>
    <sheet name="DSCR-PVC+Phenol" sheetId="97" r:id="rId41"/>
    <sheet name=" Means of Fin" sheetId="59" r:id="rId42"/>
    <sheet name="Interest Calculation" sheetId="60" r:id="rId43"/>
    <sheet name="Requirement" sheetId="73" state="hidden" r:id="rId44"/>
    <sheet name="Working Sheet" sheetId="9" r:id="rId45"/>
    <sheet name="Basis" sheetId="32" r:id="rId46"/>
    <sheet name="Sheet1" sheetId="63" state="hidden" r:id="rId47"/>
  </sheets>
  <externalReferences>
    <externalReference r:id="rId48"/>
    <externalReference r:id="rId49"/>
    <externalReference r:id="rId50"/>
    <externalReference r:id="rId51"/>
    <externalReference r:id="rId52"/>
    <externalReference r:id="rId53"/>
    <externalReference r:id="rId54"/>
    <externalReference r:id="rId55"/>
    <externalReference r:id="rId56"/>
  </externalReferences>
  <definedNames>
    <definedName name="_Order1" hidden="1">255</definedName>
    <definedName name="anscount" hidden="1">3</definedName>
    <definedName name="ColumnAttributes1" localSheetId="3">#REF!</definedName>
    <definedName name="ColumnAttributes1" localSheetId="21">#REF!</definedName>
    <definedName name="ColumnAttributes1" localSheetId="5">#REF!</definedName>
    <definedName name="ColumnAttributes1" localSheetId="11">#REF!</definedName>
    <definedName name="ColumnAttributes1" localSheetId="9">#REF!</definedName>
    <definedName name="ColumnAttributes1" localSheetId="10">#REF!</definedName>
    <definedName name="ColumnAttributes1" localSheetId="12">#REF!</definedName>
    <definedName name="ColumnAttributes1" localSheetId="26">#REF!</definedName>
    <definedName name="ColumnAttributes1" localSheetId="7">#REF!</definedName>
    <definedName name="ColumnAttributes1" localSheetId="43">#REF!</definedName>
    <definedName name="ColumnAttributes1" localSheetId="13">#REF!</definedName>
    <definedName name="ColumnAttributes1" localSheetId="4">#REF!</definedName>
    <definedName name="ColumnAttributes1">#REF!</definedName>
    <definedName name="ColumnHeadings1" localSheetId="3">#REF!</definedName>
    <definedName name="ColumnHeadings1" localSheetId="21">#REF!</definedName>
    <definedName name="ColumnHeadings1" localSheetId="5">#REF!</definedName>
    <definedName name="ColumnHeadings1" localSheetId="11">#REF!</definedName>
    <definedName name="ColumnHeadings1" localSheetId="9">#REF!</definedName>
    <definedName name="ColumnHeadings1" localSheetId="10">#REF!</definedName>
    <definedName name="ColumnHeadings1" localSheetId="12">#REF!</definedName>
    <definedName name="ColumnHeadings1" localSheetId="26">#REF!</definedName>
    <definedName name="ColumnHeadings1" localSheetId="7">#REF!</definedName>
    <definedName name="ColumnHeadings1" localSheetId="43">#REF!</definedName>
    <definedName name="ColumnHeadings1" localSheetId="4">#REF!</definedName>
    <definedName name="ColumnHeadings1">#REF!</definedName>
    <definedName name="cracker" localSheetId="3">#REF!</definedName>
    <definedName name="cracker" localSheetId="21">#REF!</definedName>
    <definedName name="cracker" localSheetId="5">#REF!</definedName>
    <definedName name="cracker" localSheetId="11">#REF!</definedName>
    <definedName name="cracker" localSheetId="9">#REF!</definedName>
    <definedName name="cracker" localSheetId="10">#REF!</definedName>
    <definedName name="cracker" localSheetId="12">#REF!</definedName>
    <definedName name="cracker" localSheetId="26">#REF!</definedName>
    <definedName name="cracker" localSheetId="7">#REF!</definedName>
    <definedName name="cracker" localSheetId="43">#REF!</definedName>
    <definedName name="cracker" localSheetId="4">#REF!</definedName>
    <definedName name="cracker">#REF!</definedName>
    <definedName name="crackertblock" localSheetId="3">#REF!</definedName>
    <definedName name="crackertblock" localSheetId="21">#REF!</definedName>
    <definedName name="crackertblock" localSheetId="5">#REF!</definedName>
    <definedName name="crackertblock" localSheetId="11">#REF!</definedName>
    <definedName name="crackertblock" localSheetId="9">#REF!</definedName>
    <definedName name="crackertblock" localSheetId="10">#REF!</definedName>
    <definedName name="crackertblock" localSheetId="12">#REF!</definedName>
    <definedName name="crackertblock" localSheetId="26">#REF!</definedName>
    <definedName name="crackertblock" localSheetId="7">#REF!</definedName>
    <definedName name="crackertblock" localSheetId="43">#REF!</definedName>
    <definedName name="crackertblock" localSheetId="4">#REF!</definedName>
    <definedName name="crackertblock">#REF!</definedName>
    <definedName name="DATA1" localSheetId="3">#REF!</definedName>
    <definedName name="DATA1" localSheetId="21">#REF!</definedName>
    <definedName name="DATA1" localSheetId="5">#REF!</definedName>
    <definedName name="DATA1" localSheetId="11">#REF!</definedName>
    <definedName name="DATA1" localSheetId="9">#REF!</definedName>
    <definedName name="DATA1" localSheetId="10">#REF!</definedName>
    <definedName name="DATA1" localSheetId="12">#REF!</definedName>
    <definedName name="DATA1" localSheetId="26">#REF!</definedName>
    <definedName name="DATA1" localSheetId="7">#REF!</definedName>
    <definedName name="DATA1" localSheetId="43">#REF!</definedName>
    <definedName name="DATA1" localSheetId="4">#REF!</definedName>
    <definedName name="DATA1">#REF!</definedName>
    <definedName name="DATA10" localSheetId="3">#REF!</definedName>
    <definedName name="DATA10" localSheetId="21">#REF!</definedName>
    <definedName name="DATA10" localSheetId="5">#REF!</definedName>
    <definedName name="DATA10" localSheetId="11">#REF!</definedName>
    <definedName name="DATA10" localSheetId="9">#REF!</definedName>
    <definedName name="DATA10" localSheetId="10">#REF!</definedName>
    <definedName name="DATA10" localSheetId="12">#REF!</definedName>
    <definedName name="DATA10" localSheetId="26">#REF!</definedName>
    <definedName name="DATA10" localSheetId="7">#REF!</definedName>
    <definedName name="DATA10" localSheetId="43">#REF!</definedName>
    <definedName name="DATA10" localSheetId="4">#REF!</definedName>
    <definedName name="DATA10">#REF!</definedName>
    <definedName name="DATA11" localSheetId="3">#REF!</definedName>
    <definedName name="DATA11" localSheetId="21">#REF!</definedName>
    <definedName name="DATA11" localSheetId="5">#REF!</definedName>
    <definedName name="DATA11" localSheetId="11">#REF!</definedName>
    <definedName name="DATA11" localSheetId="9">#REF!</definedName>
    <definedName name="DATA11" localSheetId="10">#REF!</definedName>
    <definedName name="DATA11" localSheetId="12">#REF!</definedName>
    <definedName name="DATA11" localSheetId="26">#REF!</definedName>
    <definedName name="DATA11" localSheetId="7">#REF!</definedName>
    <definedName name="DATA11" localSheetId="43">#REF!</definedName>
    <definedName name="DATA11" localSheetId="4">#REF!</definedName>
    <definedName name="DATA11">#REF!</definedName>
    <definedName name="DATA12" localSheetId="3">#REF!</definedName>
    <definedName name="DATA12" localSheetId="21">#REF!</definedName>
    <definedName name="DATA12" localSheetId="5">#REF!</definedName>
    <definedName name="DATA12" localSheetId="11">#REF!</definedName>
    <definedName name="DATA12" localSheetId="9">#REF!</definedName>
    <definedName name="DATA12" localSheetId="10">#REF!</definedName>
    <definedName name="DATA12" localSheetId="12">#REF!</definedName>
    <definedName name="DATA12" localSheetId="26">#REF!</definedName>
    <definedName name="DATA12" localSheetId="7">#REF!</definedName>
    <definedName name="DATA12" localSheetId="43">#REF!</definedName>
    <definedName name="DATA12" localSheetId="4">#REF!</definedName>
    <definedName name="DATA12">#REF!</definedName>
    <definedName name="DATA13" localSheetId="3">#REF!</definedName>
    <definedName name="DATA13" localSheetId="21">#REF!</definedName>
    <definedName name="DATA13" localSheetId="5">#REF!</definedName>
    <definedName name="DATA13" localSheetId="11">#REF!</definedName>
    <definedName name="DATA13" localSheetId="9">#REF!</definedName>
    <definedName name="DATA13" localSheetId="10">#REF!</definedName>
    <definedName name="DATA13" localSheetId="12">#REF!</definedName>
    <definedName name="DATA13" localSheetId="26">#REF!</definedName>
    <definedName name="DATA13" localSheetId="7">#REF!</definedName>
    <definedName name="DATA13" localSheetId="43">#REF!</definedName>
    <definedName name="DATA13" localSheetId="4">#REF!</definedName>
    <definedName name="DATA13">#REF!</definedName>
    <definedName name="DATA14" localSheetId="3">#REF!</definedName>
    <definedName name="DATA14" localSheetId="21">#REF!</definedName>
    <definedName name="DATA14" localSheetId="5">#REF!</definedName>
    <definedName name="DATA14" localSheetId="11">#REF!</definedName>
    <definedName name="DATA14" localSheetId="9">#REF!</definedName>
    <definedName name="DATA14" localSheetId="10">#REF!</definedName>
    <definedName name="DATA14" localSheetId="12">#REF!</definedName>
    <definedName name="DATA14" localSheetId="26">#REF!</definedName>
    <definedName name="DATA14" localSheetId="7">#REF!</definedName>
    <definedName name="DATA14" localSheetId="43">#REF!</definedName>
    <definedName name="DATA14" localSheetId="4">#REF!</definedName>
    <definedName name="DATA14">#REF!</definedName>
    <definedName name="DATA15" localSheetId="3">#REF!</definedName>
    <definedName name="DATA15" localSheetId="21">#REF!</definedName>
    <definedName name="DATA15" localSheetId="5">#REF!</definedName>
    <definedName name="DATA15" localSheetId="11">#REF!</definedName>
    <definedName name="DATA15" localSheetId="9">#REF!</definedName>
    <definedName name="DATA15" localSheetId="10">#REF!</definedName>
    <definedName name="DATA15" localSheetId="12">#REF!</definedName>
    <definedName name="DATA15" localSheetId="26">#REF!</definedName>
    <definedName name="DATA15" localSheetId="7">#REF!</definedName>
    <definedName name="DATA15" localSheetId="43">#REF!</definedName>
    <definedName name="DATA15" localSheetId="4">#REF!</definedName>
    <definedName name="DATA15">#REF!</definedName>
    <definedName name="DATA16" localSheetId="3">#REF!</definedName>
    <definedName name="DATA16" localSheetId="21">#REF!</definedName>
    <definedName name="DATA16" localSheetId="5">#REF!</definedName>
    <definedName name="DATA16" localSheetId="11">#REF!</definedName>
    <definedName name="DATA16" localSheetId="9">#REF!</definedName>
    <definedName name="DATA16" localSheetId="10">#REF!</definedName>
    <definedName name="DATA16" localSheetId="12">#REF!</definedName>
    <definedName name="DATA16" localSheetId="26">#REF!</definedName>
    <definedName name="DATA16" localSheetId="7">#REF!</definedName>
    <definedName name="DATA16" localSheetId="43">#REF!</definedName>
    <definedName name="DATA16" localSheetId="4">#REF!</definedName>
    <definedName name="DATA16">#REF!</definedName>
    <definedName name="DATA17" localSheetId="3">#REF!</definedName>
    <definedName name="DATA17" localSheetId="21">#REF!</definedName>
    <definedName name="DATA17" localSheetId="5">#REF!</definedName>
    <definedName name="DATA17" localSheetId="11">#REF!</definedName>
    <definedName name="DATA17" localSheetId="9">#REF!</definedName>
    <definedName name="DATA17" localSheetId="10">#REF!</definedName>
    <definedName name="DATA17" localSheetId="12">#REF!</definedName>
    <definedName name="DATA17" localSheetId="26">#REF!</definedName>
    <definedName name="DATA17" localSheetId="7">#REF!</definedName>
    <definedName name="DATA17" localSheetId="43">#REF!</definedName>
    <definedName name="DATA17" localSheetId="4">#REF!</definedName>
    <definedName name="DATA17">#REF!</definedName>
    <definedName name="DATA2" localSheetId="3">#REF!</definedName>
    <definedName name="DATA2" localSheetId="21">#REF!</definedName>
    <definedName name="DATA2" localSheetId="5">#REF!</definedName>
    <definedName name="DATA2" localSheetId="11">#REF!</definedName>
    <definedName name="DATA2" localSheetId="9">#REF!</definedName>
    <definedName name="DATA2" localSheetId="10">#REF!</definedName>
    <definedName name="DATA2" localSheetId="12">#REF!</definedName>
    <definedName name="DATA2" localSheetId="26">#REF!</definedName>
    <definedName name="DATA2" localSheetId="7">#REF!</definedName>
    <definedName name="DATA2" localSheetId="43">#REF!</definedName>
    <definedName name="DATA2" localSheetId="4">#REF!</definedName>
    <definedName name="DATA2">#REF!</definedName>
    <definedName name="DATA3" localSheetId="3">#REF!</definedName>
    <definedName name="DATA3" localSheetId="21">#REF!</definedName>
    <definedName name="DATA3" localSheetId="5">#REF!</definedName>
    <definedName name="DATA3" localSheetId="11">#REF!</definedName>
    <definedName name="DATA3" localSheetId="9">#REF!</definedName>
    <definedName name="DATA3" localSheetId="10">#REF!</definedName>
    <definedName name="DATA3" localSheetId="12">#REF!</definedName>
    <definedName name="DATA3" localSheetId="26">#REF!</definedName>
    <definedName name="DATA3" localSheetId="7">#REF!</definedName>
    <definedName name="DATA3" localSheetId="43">#REF!</definedName>
    <definedName name="DATA3" localSheetId="4">#REF!</definedName>
    <definedName name="DATA3">#REF!</definedName>
    <definedName name="DATA4" localSheetId="3">#REF!</definedName>
    <definedName name="DATA4" localSheetId="21">#REF!</definedName>
    <definedName name="DATA4" localSheetId="5">#REF!</definedName>
    <definedName name="DATA4" localSheetId="11">#REF!</definedName>
    <definedName name="DATA4" localSheetId="9">#REF!</definedName>
    <definedName name="DATA4" localSheetId="10">#REF!</definedName>
    <definedName name="DATA4" localSheetId="12">#REF!</definedName>
    <definedName name="DATA4" localSheetId="26">#REF!</definedName>
    <definedName name="DATA4" localSheetId="7">#REF!</definedName>
    <definedName name="DATA4" localSheetId="43">#REF!</definedName>
    <definedName name="DATA4" localSheetId="4">#REF!</definedName>
    <definedName name="DATA4">#REF!</definedName>
    <definedName name="DATA5" localSheetId="3">#REF!</definedName>
    <definedName name="DATA5" localSheetId="21">#REF!</definedName>
    <definedName name="DATA5" localSheetId="5">#REF!</definedName>
    <definedName name="DATA5" localSheetId="11">#REF!</definedName>
    <definedName name="DATA5" localSheetId="9">#REF!</definedName>
    <definedName name="DATA5" localSheetId="10">#REF!</definedName>
    <definedName name="DATA5" localSheetId="12">#REF!</definedName>
    <definedName name="DATA5" localSheetId="26">#REF!</definedName>
    <definedName name="DATA5" localSheetId="7">#REF!</definedName>
    <definedName name="DATA5" localSheetId="43">#REF!</definedName>
    <definedName name="DATA5" localSheetId="4">#REF!</definedName>
    <definedName name="DATA5">#REF!</definedName>
    <definedName name="DATA6" localSheetId="3">#REF!</definedName>
    <definedName name="DATA6" localSheetId="21">#REF!</definedName>
    <definedName name="DATA6" localSheetId="5">#REF!</definedName>
    <definedName name="DATA6" localSheetId="11">#REF!</definedName>
    <definedName name="DATA6" localSheetId="9">#REF!</definedName>
    <definedName name="DATA6" localSheetId="10">#REF!</definedName>
    <definedName name="DATA6" localSheetId="12">#REF!</definedName>
    <definedName name="DATA6" localSheetId="26">#REF!</definedName>
    <definedName name="DATA6" localSheetId="7">#REF!</definedName>
    <definedName name="DATA6" localSheetId="43">#REF!</definedName>
    <definedName name="DATA6" localSheetId="4">#REF!</definedName>
    <definedName name="DATA6">#REF!</definedName>
    <definedName name="DATA7" localSheetId="3">#REF!</definedName>
    <definedName name="DATA7" localSheetId="21">#REF!</definedName>
    <definedName name="DATA7" localSheetId="5">#REF!</definedName>
    <definedName name="DATA7" localSheetId="11">#REF!</definedName>
    <definedName name="DATA7" localSheetId="9">#REF!</definedName>
    <definedName name="DATA7" localSheetId="10">#REF!</definedName>
    <definedName name="DATA7" localSheetId="12">#REF!</definedName>
    <definedName name="DATA7" localSheetId="26">#REF!</definedName>
    <definedName name="DATA7" localSheetId="7">#REF!</definedName>
    <definedName name="DATA7" localSheetId="43">#REF!</definedName>
    <definedName name="DATA7" localSheetId="4">#REF!</definedName>
    <definedName name="DATA7">#REF!</definedName>
    <definedName name="DATA8" localSheetId="3">#REF!</definedName>
    <definedName name="DATA8" localSheetId="21">#REF!</definedName>
    <definedName name="DATA8" localSheetId="5">#REF!</definedName>
    <definedName name="DATA8" localSheetId="11">#REF!</definedName>
    <definedName name="DATA8" localSheetId="9">#REF!</definedName>
    <definedName name="DATA8" localSheetId="10">#REF!</definedName>
    <definedName name="DATA8" localSheetId="12">#REF!</definedName>
    <definedName name="DATA8" localSheetId="26">#REF!</definedName>
    <definedName name="DATA8" localSheetId="7">#REF!</definedName>
    <definedName name="DATA8" localSheetId="43">#REF!</definedName>
    <definedName name="DATA8" localSheetId="4">#REF!</definedName>
    <definedName name="DATA8">#REF!</definedName>
    <definedName name="DATA9" localSheetId="3">#REF!</definedName>
    <definedName name="DATA9" localSheetId="21">#REF!</definedName>
    <definedName name="DATA9" localSheetId="5">#REF!</definedName>
    <definedName name="DATA9" localSheetId="11">#REF!</definedName>
    <definedName name="DATA9" localSheetId="9">#REF!</definedName>
    <definedName name="DATA9" localSheetId="10">#REF!</definedName>
    <definedName name="DATA9" localSheetId="12">#REF!</definedName>
    <definedName name="DATA9" localSheetId="26">#REF!</definedName>
    <definedName name="DATA9" localSheetId="7">#REF!</definedName>
    <definedName name="DATA9" localSheetId="43">#REF!</definedName>
    <definedName name="DATA9" localSheetId="4">#REF!</definedName>
    <definedName name="DATA9">#REF!</definedName>
    <definedName name="Excel_BuiltIn__FilterDatabase_2" localSheetId="3">#REF!</definedName>
    <definedName name="Excel_BuiltIn__FilterDatabase_2" localSheetId="21">#REF!</definedName>
    <definedName name="Excel_BuiltIn__FilterDatabase_2" localSheetId="5">#REF!</definedName>
    <definedName name="Excel_BuiltIn__FilterDatabase_2" localSheetId="11">#REF!</definedName>
    <definedName name="Excel_BuiltIn__FilterDatabase_2" localSheetId="9">#REF!</definedName>
    <definedName name="Excel_BuiltIn__FilterDatabase_2" localSheetId="10">#REF!</definedName>
    <definedName name="Excel_BuiltIn__FilterDatabase_2" localSheetId="26">#REF!</definedName>
    <definedName name="Excel_BuiltIn__FilterDatabase_2" localSheetId="15">#REF!</definedName>
    <definedName name="Excel_BuiltIn__FilterDatabase_2" localSheetId="7">#REF!</definedName>
    <definedName name="Excel_BuiltIn__FilterDatabase_2" localSheetId="43">#REF!</definedName>
    <definedName name="Excel_BuiltIn__FilterDatabase_2" localSheetId="4">#REF!</definedName>
    <definedName name="Excel_BuiltIn__FilterDatabase_2">#REF!</definedName>
    <definedName name="financialcalcs" localSheetId="3">#REF!</definedName>
    <definedName name="financialcalcs" localSheetId="21">#REF!</definedName>
    <definedName name="financialcalcs" localSheetId="5">#REF!</definedName>
    <definedName name="financialcalcs" localSheetId="11">#REF!</definedName>
    <definedName name="financialcalcs" localSheetId="9">#REF!</definedName>
    <definedName name="financialcalcs" localSheetId="10">#REF!</definedName>
    <definedName name="financialcalcs" localSheetId="12">#REF!</definedName>
    <definedName name="financialcalcs" localSheetId="26">#REF!</definedName>
    <definedName name="financialcalcs" localSheetId="7">#REF!</definedName>
    <definedName name="financialcalcs" localSheetId="43">#REF!</definedName>
    <definedName name="financialcalcs" localSheetId="13">#REF!</definedName>
    <definedName name="financialcalcs" localSheetId="4">#REF!</definedName>
    <definedName name="financialcalcs">#REF!</definedName>
    <definedName name="leverage" localSheetId="3">#REF!</definedName>
    <definedName name="leverage" localSheetId="21">#REF!</definedName>
    <definedName name="leverage" localSheetId="5">#REF!</definedName>
    <definedName name="leverage" localSheetId="11">#REF!</definedName>
    <definedName name="leverage" localSheetId="9">#REF!</definedName>
    <definedName name="leverage" localSheetId="10">#REF!</definedName>
    <definedName name="leverage" localSheetId="12">#REF!</definedName>
    <definedName name="leverage" localSheetId="26">#REF!</definedName>
    <definedName name="leverage" localSheetId="7">#REF!</definedName>
    <definedName name="leverage" localSheetId="43">#REF!</definedName>
    <definedName name="leverage" localSheetId="4">#REF!</definedName>
    <definedName name="leverage">#REF!</definedName>
    <definedName name="limcount" hidden="1">2</definedName>
    <definedName name="MOD_prices">'[1]Pricing - Current'!$3:$74</definedName>
    <definedName name="PortionInDeal" localSheetId="3">#REF!</definedName>
    <definedName name="PortionInDeal" localSheetId="21">#REF!</definedName>
    <definedName name="PortionInDeal" localSheetId="5">#REF!</definedName>
    <definedName name="PortionInDeal" localSheetId="11">#REF!</definedName>
    <definedName name="PortionInDeal" localSheetId="9">#REF!</definedName>
    <definedName name="PortionInDeal" localSheetId="10">#REF!</definedName>
    <definedName name="PortionInDeal" localSheetId="12">#REF!</definedName>
    <definedName name="PortionInDeal" localSheetId="26">#REF!</definedName>
    <definedName name="PortionInDeal" localSheetId="7">#REF!</definedName>
    <definedName name="PortionInDeal" localSheetId="43">#REF!</definedName>
    <definedName name="PortionInDeal" localSheetId="13">#REF!</definedName>
    <definedName name="PortionInDeal" localSheetId="4">#REF!</definedName>
    <definedName name="PortionInDeal">#REF!</definedName>
    <definedName name="Price_chart" localSheetId="3">#REF!</definedName>
    <definedName name="Price_chart" localSheetId="21">#REF!</definedName>
    <definedName name="Price_chart" localSheetId="5">#REF!</definedName>
    <definedName name="Price_chart" localSheetId="11">#REF!</definedName>
    <definedName name="Price_chart" localSheetId="9">#REF!</definedName>
    <definedName name="Price_chart" localSheetId="10">#REF!</definedName>
    <definedName name="Price_chart" localSheetId="12">#REF!</definedName>
    <definedName name="Price_chart" localSheetId="26">#REF!</definedName>
    <definedName name="Price_chart" localSheetId="7">#REF!</definedName>
    <definedName name="Price_chart" localSheetId="43">#REF!</definedName>
    <definedName name="Price_chart" localSheetId="4">#REF!</definedName>
    <definedName name="Price_chart">#REF!</definedName>
    <definedName name="Prices_cmai" localSheetId="3">#REF!</definedName>
    <definedName name="Prices_cmai" localSheetId="21">#REF!</definedName>
    <definedName name="Prices_cmai" localSheetId="5">#REF!</definedName>
    <definedName name="Prices_cmai" localSheetId="11">#REF!</definedName>
    <definedName name="Prices_cmai" localSheetId="9">#REF!</definedName>
    <definedName name="Prices_cmai" localSheetId="10">#REF!</definedName>
    <definedName name="Prices_cmai" localSheetId="12">#REF!</definedName>
    <definedName name="Prices_cmai" localSheetId="26">#REF!</definedName>
    <definedName name="Prices_cmai" localSheetId="7">#REF!</definedName>
    <definedName name="Prices_cmai" localSheetId="43">#REF!</definedName>
    <definedName name="Prices_cmai" localSheetId="4">#REF!</definedName>
    <definedName name="Prices_cmai">#REF!</definedName>
    <definedName name="_xlnm.Print_Area" localSheetId="28">' Break EvenPoint'!$A$1:$B$16</definedName>
    <definedName name="_xlnm.Print_Area" localSheetId="29">'BEP Sensitivity-350 KTPA'!$B$1:$C$16</definedName>
    <definedName name="_xlnm.Print_Area" localSheetId="30">'BEP Sensitivity-500 KTPA'!$B$1:$C$16</definedName>
    <definedName name="_xlnm.Print_Area" localSheetId="39">'DSCR-350 KTPA'!$A$1:$J$17</definedName>
    <definedName name="_xlnm.Print_Area" localSheetId="42">'Interest Calculation'!$A$1:$J$36</definedName>
    <definedName name="_xlnm.Print_Area" localSheetId="23">Profitability!$A$1:$K$17</definedName>
    <definedName name="_xlnm.Print_Area" localSheetId="27">'Profitability - Current'!$A$1:$B$17</definedName>
    <definedName name="_xlnm.Print_Area" localSheetId="37">'Sensitivity Current Case'!$B$1:$C$16</definedName>
    <definedName name="product" localSheetId="3">#REF!</definedName>
    <definedName name="product" localSheetId="21">#REF!</definedName>
    <definedName name="product" localSheetId="5">#REF!</definedName>
    <definedName name="product" localSheetId="11">#REF!</definedName>
    <definedName name="product" localSheetId="9">#REF!</definedName>
    <definedName name="product" localSheetId="10">#REF!</definedName>
    <definedName name="product" localSheetId="12">#REF!</definedName>
    <definedName name="product" localSheetId="26">#REF!</definedName>
    <definedName name="product" localSheetId="7">#REF!</definedName>
    <definedName name="product" localSheetId="43">#REF!</definedName>
    <definedName name="product" localSheetId="4">#REF!</definedName>
    <definedName name="product">#REF!</definedName>
    <definedName name="Product2" localSheetId="3">#REF!</definedName>
    <definedName name="Product2" localSheetId="21">#REF!</definedName>
    <definedName name="Product2" localSheetId="5">#REF!</definedName>
    <definedName name="Product2" localSheetId="11">#REF!</definedName>
    <definedName name="Product2" localSheetId="9">#REF!</definedName>
    <definedName name="Product2" localSheetId="10">#REF!</definedName>
    <definedName name="Product2" localSheetId="12">#REF!</definedName>
    <definedName name="Product2" localSheetId="26">#REF!</definedName>
    <definedName name="Product2" localSheetId="7">#REF!</definedName>
    <definedName name="Product2" localSheetId="43">#REF!</definedName>
    <definedName name="Product2" localSheetId="4">#REF!</definedName>
    <definedName name="Product2">#REF!</definedName>
    <definedName name="product25" localSheetId="3">#REF!</definedName>
    <definedName name="product25" localSheetId="21">#REF!</definedName>
    <definedName name="product25" localSheetId="5">#REF!</definedName>
    <definedName name="product25" localSheetId="11">#REF!</definedName>
    <definedName name="product25" localSheetId="9">#REF!</definedName>
    <definedName name="product25" localSheetId="10">#REF!</definedName>
    <definedName name="product25" localSheetId="26">#REF!</definedName>
    <definedName name="product25" localSheetId="7">#REF!</definedName>
    <definedName name="product25" localSheetId="43">#REF!</definedName>
    <definedName name="product25" localSheetId="4">#REF!</definedName>
    <definedName name="product25">#REF!</definedName>
    <definedName name="quantity">[2]Terms!$C$1</definedName>
    <definedName name="rate" localSheetId="3">#REF!</definedName>
    <definedName name="rate" localSheetId="21">#REF!</definedName>
    <definedName name="rate" localSheetId="5">#REF!</definedName>
    <definedName name="rate" localSheetId="11">#REF!</definedName>
    <definedName name="rate" localSheetId="9">#REF!</definedName>
    <definedName name="rate" localSheetId="10">#REF!</definedName>
    <definedName name="rate" localSheetId="12">#REF!</definedName>
    <definedName name="rate" localSheetId="26">#REF!</definedName>
    <definedName name="rate" localSheetId="7">#REF!</definedName>
    <definedName name="rate" localSheetId="43">#REF!</definedName>
    <definedName name="rate" localSheetId="13">#REF!</definedName>
    <definedName name="rate" localSheetId="4">#REF!</definedName>
    <definedName name="rate">#REF!</definedName>
    <definedName name="ReportTitle1" localSheetId="3">#REF!</definedName>
    <definedName name="ReportTitle1" localSheetId="21">#REF!</definedName>
    <definedName name="ReportTitle1" localSheetId="5">#REF!</definedName>
    <definedName name="ReportTitle1" localSheetId="11">#REF!</definedName>
    <definedName name="ReportTitle1" localSheetId="9">#REF!</definedName>
    <definedName name="ReportTitle1" localSheetId="10">#REF!</definedName>
    <definedName name="ReportTitle1" localSheetId="12">#REF!</definedName>
    <definedName name="ReportTitle1" localSheetId="26">#REF!</definedName>
    <definedName name="ReportTitle1" localSheetId="7">#REF!</definedName>
    <definedName name="ReportTitle1" localSheetId="43">#REF!</definedName>
    <definedName name="ReportTitle1" localSheetId="4">#REF!</definedName>
    <definedName name="ReportTitle1">#REF!</definedName>
    <definedName name="RowDetails1" localSheetId="3">#REF!</definedName>
    <definedName name="RowDetails1" localSheetId="21">#REF!</definedName>
    <definedName name="RowDetails1" localSheetId="5">#REF!</definedName>
    <definedName name="RowDetails1" localSheetId="11">#REF!</definedName>
    <definedName name="RowDetails1" localSheetId="9">#REF!</definedName>
    <definedName name="RowDetails1" localSheetId="10">#REF!</definedName>
    <definedName name="RowDetails1" localSheetId="12">#REF!</definedName>
    <definedName name="RowDetails1" localSheetId="26">#REF!</definedName>
    <definedName name="RowDetails1" localSheetId="7">#REF!</definedName>
    <definedName name="RowDetails1" localSheetId="43">#REF!</definedName>
    <definedName name="RowDetails1" localSheetId="4">#REF!</definedName>
    <definedName name="RowDetails1">#REF!</definedName>
    <definedName name="sencount" hidden="1">2</definedName>
    <definedName name="Site" localSheetId="3">#REF!</definedName>
    <definedName name="Site" localSheetId="21">#REF!</definedName>
    <definedName name="Site" localSheetId="5">#REF!</definedName>
    <definedName name="Site" localSheetId="11">#REF!</definedName>
    <definedName name="Site" localSheetId="9">#REF!</definedName>
    <definedName name="Site" localSheetId="10">#REF!</definedName>
    <definedName name="Site" localSheetId="12">#REF!</definedName>
    <definedName name="Site" localSheetId="26">#REF!</definedName>
    <definedName name="Site" localSheetId="7">#REF!</definedName>
    <definedName name="Site" localSheetId="43">#REF!</definedName>
    <definedName name="Site" localSheetId="4">#REF!</definedName>
    <definedName name="Site">#REF!</definedName>
    <definedName name="Table" localSheetId="3">#REF!</definedName>
    <definedName name="Table" localSheetId="21">#REF!</definedName>
    <definedName name="Table" localSheetId="5">#REF!</definedName>
    <definedName name="Table" localSheetId="11">#REF!</definedName>
    <definedName name="Table" localSheetId="9">#REF!</definedName>
    <definedName name="Table" localSheetId="10">#REF!</definedName>
    <definedName name="Table" localSheetId="12">#REF!</definedName>
    <definedName name="Table" localSheetId="26">#REF!</definedName>
    <definedName name="Table" localSheetId="7">#REF!</definedName>
    <definedName name="Table" localSheetId="43">#REF!</definedName>
    <definedName name="Table" localSheetId="13">#REF!</definedName>
    <definedName name="Table" localSheetId="4">#REF!</definedName>
    <definedName name="Table">#REF!</definedName>
    <definedName name="Term" localSheetId="3">#REF!</definedName>
    <definedName name="Term" localSheetId="21">#REF!</definedName>
    <definedName name="Term" localSheetId="5">#REF!</definedName>
    <definedName name="Term" localSheetId="11">#REF!</definedName>
    <definedName name="Term" localSheetId="9">#REF!</definedName>
    <definedName name="Term" localSheetId="10">#REF!</definedName>
    <definedName name="Term" localSheetId="12">#REF!</definedName>
    <definedName name="Term" localSheetId="26">#REF!</definedName>
    <definedName name="Term" localSheetId="7">#REF!</definedName>
    <definedName name="Term" localSheetId="43">#REF!</definedName>
    <definedName name="Term" localSheetId="4">#REF!</definedName>
    <definedName name="Term">#REF!</definedName>
    <definedName name="TermDiscperiods" localSheetId="3">#REF!</definedName>
    <definedName name="TermDiscperiods" localSheetId="21">#REF!</definedName>
    <definedName name="TermDiscperiods" localSheetId="5">#REF!</definedName>
    <definedName name="TermDiscperiods" localSheetId="11">#REF!</definedName>
    <definedName name="TermDiscperiods" localSheetId="9">#REF!</definedName>
    <definedName name="TermDiscperiods" localSheetId="10">#REF!</definedName>
    <definedName name="TermDiscperiods" localSheetId="12">#REF!</definedName>
    <definedName name="TermDiscperiods" localSheetId="26">#REF!</definedName>
    <definedName name="TermDiscperiods" localSheetId="7">#REF!</definedName>
    <definedName name="TermDiscperiods" localSheetId="43">#REF!</definedName>
    <definedName name="TermDiscperiods" localSheetId="4">#REF!</definedName>
    <definedName name="TermDiscperiods">#REF!</definedName>
    <definedName name="TEST1" localSheetId="3">#REF!</definedName>
    <definedName name="TEST1" localSheetId="21">#REF!</definedName>
    <definedName name="TEST1" localSheetId="5">#REF!</definedName>
    <definedName name="TEST1" localSheetId="11">#REF!</definedName>
    <definedName name="TEST1" localSheetId="9">#REF!</definedName>
    <definedName name="TEST1" localSheetId="10">#REF!</definedName>
    <definedName name="TEST1" localSheetId="12">#REF!</definedName>
    <definedName name="TEST1" localSheetId="26">#REF!</definedName>
    <definedName name="TEST1" localSheetId="7">#REF!</definedName>
    <definedName name="TEST1" localSheetId="43">#REF!</definedName>
    <definedName name="TEST1" localSheetId="4">#REF!</definedName>
    <definedName name="TEST1">#REF!</definedName>
    <definedName name="TEST2" localSheetId="3">#REF!</definedName>
    <definedName name="TEST2" localSheetId="21">#REF!</definedName>
    <definedName name="TEST2" localSheetId="5">#REF!</definedName>
    <definedName name="TEST2" localSheetId="11">#REF!</definedName>
    <definedName name="TEST2" localSheetId="9">#REF!</definedName>
    <definedName name="TEST2" localSheetId="10">#REF!</definedName>
    <definedName name="TEST2" localSheetId="12">#REF!</definedName>
    <definedName name="TEST2" localSheetId="26">#REF!</definedName>
    <definedName name="TEST2" localSheetId="7">#REF!</definedName>
    <definedName name="TEST2" localSheetId="43">#REF!</definedName>
    <definedName name="TEST2" localSheetId="4">#REF!</definedName>
    <definedName name="TEST2">#REF!</definedName>
    <definedName name="TEST3" localSheetId="3">#REF!</definedName>
    <definedName name="TEST3" localSheetId="21">#REF!</definedName>
    <definedName name="TEST3" localSheetId="5">#REF!</definedName>
    <definedName name="TEST3" localSheetId="11">#REF!</definedName>
    <definedName name="TEST3" localSheetId="9">#REF!</definedName>
    <definedName name="TEST3" localSheetId="10">#REF!</definedName>
    <definedName name="TEST3" localSheetId="12">#REF!</definedName>
    <definedName name="TEST3" localSheetId="26">#REF!</definedName>
    <definedName name="TEST3" localSheetId="7">#REF!</definedName>
    <definedName name="TEST3" localSheetId="43">#REF!</definedName>
    <definedName name="TEST3" localSheetId="4">#REF!</definedName>
    <definedName name="TEST3">#REF!</definedName>
    <definedName name="TESTHKEY" localSheetId="3">#REF!</definedName>
    <definedName name="TESTHKEY" localSheetId="21">#REF!</definedName>
    <definedName name="TESTHKEY" localSheetId="5">#REF!</definedName>
    <definedName name="TESTHKEY" localSheetId="11">#REF!</definedName>
    <definedName name="TESTHKEY" localSheetId="9">#REF!</definedName>
    <definedName name="TESTHKEY" localSheetId="10">#REF!</definedName>
    <definedName name="TESTHKEY" localSheetId="12">#REF!</definedName>
    <definedName name="TESTHKEY" localSheetId="26">#REF!</definedName>
    <definedName name="TESTHKEY" localSheetId="7">#REF!</definedName>
    <definedName name="TESTHKEY" localSheetId="43">#REF!</definedName>
    <definedName name="TESTHKEY" localSheetId="4">#REF!</definedName>
    <definedName name="TESTHKEY">#REF!</definedName>
    <definedName name="TESTKEYS" localSheetId="3">#REF!</definedName>
    <definedName name="TESTKEYS" localSheetId="21">#REF!</definedName>
    <definedName name="TESTKEYS" localSheetId="5">#REF!</definedName>
    <definedName name="TESTKEYS" localSheetId="11">#REF!</definedName>
    <definedName name="TESTKEYS" localSheetId="9">#REF!</definedName>
    <definedName name="TESTKEYS" localSheetId="10">#REF!</definedName>
    <definedName name="TESTKEYS" localSheetId="12">#REF!</definedName>
    <definedName name="TESTKEYS" localSheetId="26">#REF!</definedName>
    <definedName name="TESTKEYS" localSheetId="7">#REF!</definedName>
    <definedName name="TESTKEYS" localSheetId="43">#REF!</definedName>
    <definedName name="TESTKEYS" localSheetId="4">#REF!</definedName>
    <definedName name="TESTKEYS">#REF!</definedName>
    <definedName name="TESTVKEY" localSheetId="3">#REF!</definedName>
    <definedName name="TESTVKEY" localSheetId="21">#REF!</definedName>
    <definedName name="TESTVKEY" localSheetId="5">#REF!</definedName>
    <definedName name="TESTVKEY" localSheetId="11">#REF!</definedName>
    <definedName name="TESTVKEY" localSheetId="9">#REF!</definedName>
    <definedName name="TESTVKEY" localSheetId="10">#REF!</definedName>
    <definedName name="TESTVKEY" localSheetId="12">#REF!</definedName>
    <definedName name="TESTVKEY" localSheetId="26">#REF!</definedName>
    <definedName name="TESTVKEY" localSheetId="7">#REF!</definedName>
    <definedName name="TESTVKEY" localSheetId="43">#REF!</definedName>
    <definedName name="TESTVKEY" localSheetId="4">#REF!</definedName>
    <definedName name="TESTVKEY">#REF!</definedName>
    <definedName name="UNI_AA_VERSION" hidden="1">"322.3.0"</definedName>
    <definedName name="UNI_PRES_CLOSEST" hidden="1">512</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MRECORD" hidden="1">64</definedName>
    <definedName name="UNI_PRES_MSTIME" hidden="1">8192</definedName>
    <definedName name="UNI_PRES_POST" hidden="1">256</definedName>
    <definedName name="UNI_PRES_PRIOR" hidden="1">2048</definedName>
    <definedName name="UNI_PRES_RECENT" hidden="1">1024</definedName>
    <definedName name="UNI_PRES_STATIC" hidden="1">128</definedName>
    <definedName name="UNI_PRES_TRANSPOSE" hidden="1">4096</definedName>
    <definedName name="UNI_RET_ATTRIB" hidden="1">64</definedName>
    <definedName name="UNI_RET_CONF" hidden="1">32</definedName>
    <definedName name="UNI_RET_DESC" hidden="1">4</definedName>
    <definedName name="UNI_RET_TAG" hidden="1">1</definedName>
    <definedName name="UNI_RET_TIME" hidden="1">8</definedName>
    <definedName name="UNI_RET_UNIT" hidden="1">2</definedName>
    <definedName name="UNI_RET_VALUE" hidden="1">16</definedName>
    <definedName name="UNIFORMANCES1R103C7" hidden="1">[3]Source!$G$103</definedName>
    <definedName name="UNIFORMANCES1R107C7" hidden="1">[3]Source!$G$107</definedName>
    <definedName name="UNIFORMANCES1R110C7" hidden="1">[3]Source!$G$110</definedName>
    <definedName name="UNIFORMANCES1R114C7" hidden="1">[3]Source!$G$114</definedName>
    <definedName name="UNIFORMANCES1R118C7" hidden="1">[3]Source!$G$118</definedName>
    <definedName name="UNIFORMANCES1R121C7" hidden="1">[3]Source!$G$121</definedName>
    <definedName name="UNIFORMANCES1R127C7" hidden="1">[3]Source!$G$127</definedName>
    <definedName name="UNIFORMANCES1R130C7" hidden="1">[3]Source!$G$130</definedName>
    <definedName name="UNIFORMANCES1R134C7" hidden="1">[3]Source!$G$134</definedName>
    <definedName name="UNIFORMANCES1R138C7" hidden="1">[3]Source!$G$138</definedName>
    <definedName name="UNIFORMANCES1R141C7" hidden="1">[3]Source!$G$141</definedName>
    <definedName name="UNIFORMANCES1R145C7" hidden="1">[3]Source!$G$145</definedName>
    <definedName name="UNIFORMANCES1R149C7" hidden="1">[3]Source!$G$149</definedName>
    <definedName name="UNIFORMANCES1R152C7" hidden="1">[3]Source!$G$152</definedName>
    <definedName name="UNIFORMANCES1R156C7" hidden="1">[3]Source!$G$156</definedName>
    <definedName name="UNIFORMANCES1R15C7" hidden="1">[3]Source!$G$15</definedName>
    <definedName name="UNIFORMANCES1R163C7" hidden="1">[3]Source!$G$163</definedName>
    <definedName name="UNIFORMANCES1R167C7" hidden="1">[3]Source!$G$167</definedName>
    <definedName name="UNIFORMANCES1R171C7" hidden="1">[3]Source!$G$171</definedName>
    <definedName name="UNIFORMANCES1R175C7" hidden="1">[3]Source!$G$175</definedName>
    <definedName name="UNIFORMANCES1R179C7" hidden="1">[3]Source!$G$179</definedName>
    <definedName name="UNIFORMANCES1R186C7" hidden="1">[3]Source!$G$186</definedName>
    <definedName name="UNIFORMANCES1R18C7" hidden="1">[3]Source!$G$18</definedName>
    <definedName name="UNIFORMANCES1R190C7" hidden="1">[3]Source!$G$190</definedName>
    <definedName name="UNIFORMANCES1R193C7" hidden="1">[3]Source!$G$193</definedName>
    <definedName name="UNIFORMANCES1R197C7" hidden="1">[3]Source!$G$197</definedName>
    <definedName name="UNIFORMANCES1R19C7" hidden="1">[3]Source!$G$19</definedName>
    <definedName name="UNIFORMANCES1R203C7" hidden="1">[3]Source!$G$203</definedName>
    <definedName name="UNIFORMANCES1R207C7" hidden="1">[3]Source!$G$207</definedName>
    <definedName name="UNIFORMANCES1R210C7" hidden="1">[3]Source!$G$210</definedName>
    <definedName name="UNIFORMANCES1R211C7" hidden="1">[3]Source!$G$211</definedName>
    <definedName name="UNIFORMANCES1R214C7" hidden="1">[3]Source!$G$214</definedName>
    <definedName name="UNIFORMANCES1R218C7" hidden="1">[3]Source!$G$218</definedName>
    <definedName name="UNIFORMANCES1R219C7" hidden="1">[3]Source!$G$219</definedName>
    <definedName name="UNIFORMANCES1R221C7" hidden="1">[3]Source!$G$221</definedName>
    <definedName name="UNIFORMANCES1R222C7" hidden="1">[3]Source!$G$222</definedName>
    <definedName name="UNIFORMANCES1R225C7" hidden="1">[3]Source!$G$225</definedName>
    <definedName name="UNIFORMANCES1R229C7" hidden="1">[3]Source!$G$229</definedName>
    <definedName name="UNIFORMANCES1R230C7" hidden="1">[3]Source!$G$230</definedName>
    <definedName name="UNIFORMANCES1R235C7" hidden="1">[3]Source!$G$235</definedName>
    <definedName name="UNIFORMANCES1R23C7" hidden="1">[3]Source!$G$23</definedName>
    <definedName name="UNIFORMANCES1R240C7" hidden="1">[3]Source!$G$240</definedName>
    <definedName name="UNIFORMANCES1R243C7" hidden="1">[3]Source!$G$243</definedName>
    <definedName name="UNIFORMANCES1R247C7" hidden="1">[3]Source!$G$247</definedName>
    <definedName name="UNIFORMANCES1R248C7" hidden="1">[3]Source!$G$248</definedName>
    <definedName name="UNIFORMANCES1R25C7" hidden="1">[3]Source!$G$25</definedName>
    <definedName name="UNIFORMANCES1R26C7" hidden="1">[3]Source!$G$26</definedName>
    <definedName name="UNIFORMANCES1R29C7" hidden="1">[3]Source!$G$29</definedName>
    <definedName name="UNIFORMANCES1R33C7" hidden="1">[3]Source!$G$33</definedName>
    <definedName name="UNIFORMANCES1R37C7" hidden="1">[3]Source!$G$37</definedName>
    <definedName name="UNIFORMANCES1R38C7" hidden="1">[3]Source!$G$38</definedName>
    <definedName name="UNIFORMANCES1R41C7" hidden="1">[3]Source!$G$41</definedName>
    <definedName name="UNIFORMANCES1R43C7" hidden="1">[3]Source!$G$43</definedName>
    <definedName name="UNIFORMANCES1R46C7" hidden="1">[3]Source!$G$46</definedName>
    <definedName name="UNIFORMANCES1R50C7" hidden="1">[3]Source!$G$50</definedName>
    <definedName name="UNIFORMANCES1R51C7" hidden="1">[3]Source!$G$51</definedName>
    <definedName name="UNIFORMANCES1R53C7" hidden="1">[3]Source!$G$53</definedName>
    <definedName name="UNIFORMANCES1R54C7" hidden="1">[3]Source!$G$54</definedName>
    <definedName name="UNIFORMANCES1R59C7" hidden="1">[3]Source!$G$59</definedName>
    <definedName name="UNIFORMANCES1R5C7" hidden="1">[3]Source!$G$5</definedName>
    <definedName name="UNIFORMANCES1R60C7" hidden="1">[3]Source!$G$60</definedName>
    <definedName name="UNIFORMANCES1R62C7" hidden="1">[3]Source!$G$62</definedName>
    <definedName name="UNIFORMANCES1R63C7" hidden="1">[3]Source!$G$63</definedName>
    <definedName name="UNIFORMANCES1R66C7" hidden="1">[3]Source!$G$66</definedName>
    <definedName name="UNIFORMANCES1R67C7" hidden="1">[3]Source!$G$67</definedName>
    <definedName name="UNIFORMANCES1R68C7" hidden="1">[3]Source!$G$68</definedName>
    <definedName name="UNIFORMANCES1R70C7" hidden="1">[3]Source!$G$70</definedName>
    <definedName name="UNIFORMANCES1R71C7" hidden="1">[3]Source!$G$71</definedName>
    <definedName name="UNIFORMANCES1R74C7" hidden="1">[3]Source!$G$74</definedName>
    <definedName name="UNIFORMANCES1R75C7" hidden="1">[3]Source!$G$75</definedName>
    <definedName name="UNIFORMANCES1R76C7" hidden="1">[3]Source!$G$76</definedName>
    <definedName name="UNIFORMANCES1R78C7" hidden="1">[3]Source!$G$78</definedName>
    <definedName name="UNIFORMANCES1R79C7" hidden="1">[3]Source!$G$79</definedName>
    <definedName name="UNIFORMANCES1R81C7" hidden="1">[3]Source!$G$81</definedName>
    <definedName name="UNIFORMANCES1R82C7" hidden="1">[3]Source!$G$82</definedName>
    <definedName name="UNIFORMANCES1R83C7" hidden="1">[3]Source!$G$83</definedName>
    <definedName name="UNIFORMANCES1R85C7" hidden="1">[3]Source!$G$85</definedName>
    <definedName name="UNIFORMANCES1R86C7" hidden="1">[3]Source!$G$86</definedName>
    <definedName name="UNIFORMANCES1R87C7" hidden="1">[3]Source!$G$87</definedName>
    <definedName name="UNIFORMANCES1R89C7" hidden="1">[3]Source!$G$89</definedName>
    <definedName name="UNIFORMANCES1R90C7" hidden="1">[3]Source!$G$90</definedName>
    <definedName name="UNIFORMANCES1R93C7" hidden="1">[3]Source!$G$93</definedName>
    <definedName name="UNIFORMANCES1R94C7" hidden="1">[3]Source!$G$94</definedName>
    <definedName name="UNIFORMANCES1R97C7" hidden="1">[3]Source!$G$97</definedName>
    <definedName name="UNIFORMANCES1R98C7" hidden="1">[3]Source!$G$98</definedName>
    <definedName name="UNIFORMANCES1R99C7" hidden="1">[3]Source!$G$99</definedName>
    <definedName name="UNIFORMANCES2R100C6" hidden="1">[4]Sheet2!$F$100</definedName>
    <definedName name="UNIFORMANCES2R101C6" hidden="1">[4]Sheet2!$F$101</definedName>
    <definedName name="UNIFORMANCES2R102C6" hidden="1">[4]Sheet2!$F$102</definedName>
    <definedName name="UNIFORMANCES2R103C6" hidden="1">[4]Sheet2!$F$103</definedName>
    <definedName name="UNIFORMANCES2R104C6" hidden="1">[4]Sheet2!$F$104</definedName>
    <definedName name="UNIFORMANCES2R105C6" hidden="1">[4]Sheet2!$F$105</definedName>
    <definedName name="UNIFORMANCES2R106C6" hidden="1">[4]Sheet2!$F$106</definedName>
    <definedName name="UNIFORMANCES2R107C6" hidden="1">[4]Sheet2!$F$107</definedName>
    <definedName name="UNIFORMANCES2R108C6" hidden="1">[4]Sheet2!$F$108</definedName>
    <definedName name="UNIFORMANCES2R109C6" hidden="1">[4]Sheet2!$F$109</definedName>
    <definedName name="UNIFORMANCES2R10C6" hidden="1">[4]Sheet2!$F$10</definedName>
    <definedName name="UNIFORMANCES2R110C6" hidden="1">[4]Sheet2!$F$110</definedName>
    <definedName name="UNIFORMANCES2R111C6" hidden="1">[4]Sheet2!$F$111</definedName>
    <definedName name="UNIFORMANCES2R112C6" hidden="1">[4]Sheet2!$F$112</definedName>
    <definedName name="UNIFORMANCES2R113C6" hidden="1">[4]Sheet2!$F$113</definedName>
    <definedName name="UNIFORMANCES2R114C6" hidden="1">[4]Sheet2!$F$114</definedName>
    <definedName name="UNIFORMANCES2R115C6" hidden="1">[4]Sheet2!$F$115</definedName>
    <definedName name="UNIFORMANCES2R116C6" hidden="1">[4]Sheet2!$F$116</definedName>
    <definedName name="UNIFORMANCES2R117C6" hidden="1">[4]Sheet2!$F$117</definedName>
    <definedName name="UNIFORMANCES2R118C6" hidden="1">[4]Sheet2!$F$118</definedName>
    <definedName name="UNIFORMANCES2R119C6" hidden="1">[4]Sheet2!$F$119</definedName>
    <definedName name="UNIFORMANCES2R11C6" hidden="1">[4]Sheet2!$F$11</definedName>
    <definedName name="UNIFORMANCES2R120C6" hidden="1">[4]Sheet2!$F$120</definedName>
    <definedName name="UNIFORMANCES2R121C6" hidden="1">[4]Sheet2!$F$121</definedName>
    <definedName name="UNIFORMANCES2R122C6" hidden="1">[4]Sheet2!$F$122</definedName>
    <definedName name="UNIFORMANCES2R123C6" hidden="1">[4]Sheet2!$F$123</definedName>
    <definedName name="UNIFORMANCES2R124C6" hidden="1">[4]Sheet2!$F$124</definedName>
    <definedName name="UNIFORMANCES2R125C6" hidden="1">[4]Sheet2!$F$125</definedName>
    <definedName name="UNIFORMANCES2R126C6" hidden="1">[4]Sheet2!$F$126</definedName>
    <definedName name="UNIFORMANCES2R128C6" hidden="1">[4]Sheet2!$F$128</definedName>
    <definedName name="UNIFORMANCES2R129C6" hidden="1">[4]Sheet2!$F$129</definedName>
    <definedName name="UNIFORMANCES2R12C6" hidden="1">[4]Sheet2!$F$12</definedName>
    <definedName name="UNIFORMANCES2R130C6" hidden="1">[4]Sheet2!$F$130</definedName>
    <definedName name="UNIFORMANCES2R131C6" hidden="1">[4]Sheet2!$F$131</definedName>
    <definedName name="UNIFORMANCES2R132C6" hidden="1">[4]Sheet2!$F$132</definedName>
    <definedName name="UNIFORMANCES2R133C6" hidden="1">[4]Sheet2!$F$133</definedName>
    <definedName name="UNIFORMANCES2R134C6" hidden="1">[4]Sheet2!$F$134</definedName>
    <definedName name="UNIFORMANCES2R135C6" hidden="1">[4]Sheet2!$F$135</definedName>
    <definedName name="UNIFORMANCES2R136C6" hidden="1">[4]Sheet2!$F$136</definedName>
    <definedName name="UNIFORMANCES2R137C6" hidden="1">[4]Sheet2!$F$137</definedName>
    <definedName name="UNIFORMANCES2R138C6" hidden="1">[4]Sheet2!$F$138</definedName>
    <definedName name="UNIFORMANCES2R139C6" hidden="1">[4]Sheet2!$F$139</definedName>
    <definedName name="UNIFORMANCES2R13C6" hidden="1">[4]Sheet2!$F$13</definedName>
    <definedName name="UNIFORMANCES2R140C6" hidden="1">[4]Sheet2!$F$140</definedName>
    <definedName name="UNIFORMANCES2R141C6" hidden="1">[4]Sheet2!$F$141</definedName>
    <definedName name="UNIFORMANCES2R142C6" hidden="1">[4]Sheet2!$F$142</definedName>
    <definedName name="UNIFORMANCES2R143C6" hidden="1">[4]Sheet2!$F$143</definedName>
    <definedName name="UNIFORMANCES2R144C6" hidden="1">[4]Sheet2!$F$144</definedName>
    <definedName name="UNIFORMANCES2R145C6" hidden="1">[4]Sheet2!$F$145</definedName>
    <definedName name="UNIFORMANCES2R146C6" hidden="1">[4]Sheet2!$F$146</definedName>
    <definedName name="UNIFORMANCES2R147C6" hidden="1">[4]Sheet2!$F$147</definedName>
    <definedName name="UNIFORMANCES2R148C6" hidden="1">[4]Sheet2!$F$148</definedName>
    <definedName name="UNIFORMANCES2R149C6" hidden="1">[4]Sheet2!$F$149</definedName>
    <definedName name="UNIFORMANCES2R14C6" hidden="1">[4]Sheet2!$F$14</definedName>
    <definedName name="UNIFORMANCES2R150C6" hidden="1">[4]Sheet2!$F$150</definedName>
    <definedName name="UNIFORMANCES2R151C6" hidden="1">[4]Sheet2!$F$151</definedName>
    <definedName name="UNIFORMANCES2R152C6" hidden="1">[4]Sheet2!$F$152</definedName>
    <definedName name="UNIFORMANCES2R153C6" hidden="1">[4]Sheet2!$F$153</definedName>
    <definedName name="UNIFORMANCES2R154C6" hidden="1">[4]Sheet2!$F$154</definedName>
    <definedName name="UNIFORMANCES2R155C6" hidden="1">[4]Sheet2!$F$155</definedName>
    <definedName name="UNIFORMANCES2R156C6" hidden="1">[4]Sheet2!$F$156</definedName>
    <definedName name="UNIFORMANCES2R157C6" hidden="1">[4]Sheet2!$F$157</definedName>
    <definedName name="UNIFORMANCES2R158C6" hidden="1">[4]Sheet2!$F$158</definedName>
    <definedName name="UNIFORMANCES2R159C6" hidden="1">[4]Sheet2!$F$159</definedName>
    <definedName name="UNIFORMANCES2R160C6" hidden="1">[4]Sheet2!$F$160</definedName>
    <definedName name="UNIFORMANCES2R161C6" hidden="1">[4]Sheet2!$F$161</definedName>
    <definedName name="UNIFORMANCES2R16C6" hidden="1">[4]Sheet2!$F$16</definedName>
    <definedName name="UNIFORMANCES2R17C6" hidden="1">[4]Sheet2!$F$17</definedName>
    <definedName name="UNIFORMANCES2R184C6" hidden="1">[4]Sheet2!$F$184</definedName>
    <definedName name="UNIFORMANCES2R185C6" hidden="1">[4]Sheet2!$F$185</definedName>
    <definedName name="UNIFORMANCES2R186C6" hidden="1">[4]Sheet2!$F$186</definedName>
    <definedName name="UNIFORMANCES2R187C6" hidden="1">[4]Sheet2!$F$187</definedName>
    <definedName name="UNIFORMANCES2R18C6" hidden="1">[4]Sheet2!$F$18</definedName>
    <definedName name="UNIFORMANCES2R191C6" hidden="1">[4]Sheet2!$F$191</definedName>
    <definedName name="UNIFORMANCES2R192C6" hidden="1">[4]Sheet2!$F$192</definedName>
    <definedName name="UNIFORMANCES2R193C6" hidden="1">[4]Sheet2!$F$193</definedName>
    <definedName name="UNIFORMANCES2R194C6" hidden="1">[4]Sheet2!$F$194</definedName>
    <definedName name="UNIFORMANCES2R195C6" hidden="1">[4]Sheet2!$F$195</definedName>
    <definedName name="UNIFORMANCES2R196C6" hidden="1">[4]Sheet2!$F$196</definedName>
    <definedName name="UNIFORMANCES2R197C6" hidden="1">[4]Sheet2!$F$197</definedName>
    <definedName name="UNIFORMANCES2R198C6" hidden="1">[4]Sheet2!$F$198</definedName>
    <definedName name="UNIFORMANCES2R199C6" hidden="1">[4]Sheet2!$F$199</definedName>
    <definedName name="UNIFORMANCES2R19C6" hidden="1">[4]Sheet2!$F$19</definedName>
    <definedName name="UNIFORMANCES2R200C6" hidden="1">[4]Sheet2!$F$200</definedName>
    <definedName name="UNIFORMANCES2R201C6" hidden="1">[4]Sheet2!$F$201</definedName>
    <definedName name="UNIFORMANCES2R202C6" hidden="1">[4]Sheet2!$F$202</definedName>
    <definedName name="UNIFORMANCES2R203C6" hidden="1">[4]Sheet2!$F$203</definedName>
    <definedName name="UNIFORMANCES2R204C6" hidden="1">[4]Sheet2!$F$204</definedName>
    <definedName name="UNIFORMANCES2R205C6" hidden="1">[4]Sheet2!$F$205</definedName>
    <definedName name="UNIFORMANCES2R206C6" hidden="1">[4]Sheet2!$F$206</definedName>
    <definedName name="UNIFORMANCES2R207C6" hidden="1">[4]Sheet2!$F$207</definedName>
    <definedName name="UNIFORMANCES2R208C6" hidden="1">[4]Sheet2!$F$208</definedName>
    <definedName name="UNIFORMANCES2R209C6" hidden="1">[4]Sheet2!$F$209</definedName>
    <definedName name="UNIFORMANCES2R20C6" hidden="1">[4]Sheet2!$F$20</definedName>
    <definedName name="UNIFORMANCES2R210C6" hidden="1">[4]Sheet2!$F$210</definedName>
    <definedName name="UNIFORMANCES2R211C6" hidden="1">[4]Sheet2!$F$211</definedName>
    <definedName name="UNIFORMANCES2R212C6" hidden="1">[4]Sheet2!$F$212</definedName>
    <definedName name="UNIFORMANCES2R213C6" hidden="1">[4]Sheet2!$F$213</definedName>
    <definedName name="UNIFORMANCES2R214C6" hidden="1">[4]Sheet2!$F$214</definedName>
    <definedName name="UNIFORMANCES2R215C6" hidden="1">[4]Sheet2!$F$215</definedName>
    <definedName name="UNIFORMANCES2R216C6" hidden="1">[4]Sheet2!$F$216</definedName>
    <definedName name="UNIFORMANCES2R217C6" hidden="1">[4]Sheet2!$F$217</definedName>
    <definedName name="UNIFORMANCES2R218C6" hidden="1">[4]Sheet2!$F$218</definedName>
    <definedName name="UNIFORMANCES2R219C6" hidden="1">[4]Sheet2!$F$219</definedName>
    <definedName name="UNIFORMANCES2R21C6" hidden="1">[4]Sheet2!$F$21</definedName>
    <definedName name="UNIFORMANCES2R220C6" hidden="1">[4]Sheet2!$F$220</definedName>
    <definedName name="UNIFORMANCES2R221C6" hidden="1">[4]Sheet2!$F$221</definedName>
    <definedName name="UNIFORMANCES2R222C6" hidden="1">[4]Sheet2!$F$222</definedName>
    <definedName name="UNIFORMANCES2R223C6" hidden="1">[4]Sheet2!$F$223</definedName>
    <definedName name="UNIFORMANCES2R224C6" hidden="1">[4]Sheet2!$F$224</definedName>
    <definedName name="UNIFORMANCES2R225C6" hidden="1">[4]Sheet2!$F$225</definedName>
    <definedName name="UNIFORMANCES2R227C6" hidden="1">[4]Sheet2!$F$227</definedName>
    <definedName name="UNIFORMANCES2R229C6" hidden="1">[4]Sheet2!$F$229</definedName>
    <definedName name="UNIFORMANCES2R22C6" hidden="1">[4]Sheet2!$F$22</definedName>
    <definedName name="UNIFORMANCES2R230C6" hidden="1">[4]Sheet2!$F$230</definedName>
    <definedName name="UNIFORMANCES2R231C6" hidden="1">[4]Sheet2!$F$231</definedName>
    <definedName name="UNIFORMANCES2R232C6" hidden="1">[4]Sheet2!$F$232</definedName>
    <definedName name="UNIFORMANCES2R233C6" hidden="1">[4]Sheet2!$F$233</definedName>
    <definedName name="UNIFORMANCES2R234C6" hidden="1">[4]Sheet2!$F$234</definedName>
    <definedName name="UNIFORMANCES2R235C6" hidden="1">[4]Sheet2!$F$235</definedName>
    <definedName name="UNIFORMANCES2R236C6" hidden="1">[4]Sheet2!$F$236</definedName>
    <definedName name="UNIFORMANCES2R237C6" hidden="1">[4]Sheet2!$F$237</definedName>
    <definedName name="UNIFORMANCES2R238C6" hidden="1">[4]Sheet2!$F$238</definedName>
    <definedName name="UNIFORMANCES2R239C6" hidden="1">[4]Sheet2!$F$239</definedName>
    <definedName name="UNIFORMANCES2R23C6" hidden="1">[4]Sheet2!$F$23</definedName>
    <definedName name="UNIFORMANCES2R240C6" hidden="1">[4]Sheet2!$F$240</definedName>
    <definedName name="UNIFORMANCES2R241C6" hidden="1">[4]Sheet2!$F$241</definedName>
    <definedName name="UNIFORMANCES2R242C6" hidden="1">[4]Sheet2!$F$242</definedName>
    <definedName name="UNIFORMANCES2R243C6" hidden="1">[4]Sheet2!$F$243</definedName>
    <definedName name="UNIFORMANCES2R24C6" hidden="1">[4]Sheet2!$F$24</definedName>
    <definedName name="UNIFORMANCES2R25C6" hidden="1">[4]Sheet2!$F$25</definedName>
    <definedName name="UNIFORMANCES2R26C6" hidden="1">[4]Sheet2!$F$26</definedName>
    <definedName name="UNIFORMANCES2R27C6" hidden="1">[4]Sheet2!$F$27</definedName>
    <definedName name="UNIFORMANCES2R28C6" hidden="1">[4]Sheet2!$F$28</definedName>
    <definedName name="UNIFORMANCES2R29C6" hidden="1">[4]Sheet2!$F$29</definedName>
    <definedName name="UNIFORMANCES2R30C6" hidden="1">[4]Sheet2!$F$30</definedName>
    <definedName name="UNIFORMANCES2R31C6" hidden="1">[4]Sheet2!$F$31</definedName>
    <definedName name="UNIFORMANCES2R32C6" hidden="1">[4]Sheet2!$F$32</definedName>
    <definedName name="UNIFORMANCES2R33C6" hidden="1">[4]Sheet2!$F$33</definedName>
    <definedName name="UNIFORMANCES2R34C6" hidden="1">[4]Sheet2!$F$34</definedName>
    <definedName name="UNIFORMANCES2R35C6" hidden="1">[4]Sheet2!$F$35</definedName>
    <definedName name="UNIFORMANCES2R36C6" hidden="1">[4]Sheet2!$F$36</definedName>
    <definedName name="UNIFORMANCES2R37C6" hidden="1">[4]Sheet2!$F$37</definedName>
    <definedName name="UNIFORMANCES2R38C6" hidden="1">[4]Sheet2!$F$38</definedName>
    <definedName name="UNIFORMANCES2R39C6" hidden="1">[4]Sheet2!$F$39</definedName>
    <definedName name="UNIFORMANCES2R40C6" hidden="1">[4]Sheet2!$F$40</definedName>
    <definedName name="UNIFORMANCES2R41C6" hidden="1">[4]Sheet2!$F$41</definedName>
    <definedName name="UNIFORMANCES2R42C6" hidden="1">[4]Sheet2!$F$42</definedName>
    <definedName name="UNIFORMANCES2R43C6" hidden="1">[4]Sheet2!$F$43</definedName>
    <definedName name="UNIFORMANCES2R44C6" hidden="1">[4]Sheet2!$F$44</definedName>
    <definedName name="UNIFORMANCES2R45C6" hidden="1">[4]Sheet2!$F$45</definedName>
    <definedName name="UNIFORMANCES2R46C6" hidden="1">[4]Sheet2!$F$46</definedName>
    <definedName name="UNIFORMANCES2R47C6" hidden="1">[4]Sheet2!$F$47</definedName>
    <definedName name="UNIFORMANCES2R48C6" hidden="1">[4]Sheet2!$F$48</definedName>
    <definedName name="UNIFORMANCES2R49C6" hidden="1">[4]Sheet2!$F$49</definedName>
    <definedName name="UNIFORMANCES2R4C6" hidden="1">[4]Sheet2!$F$4</definedName>
    <definedName name="UNIFORMANCES2R50C6" hidden="1">[4]Sheet2!$F$50</definedName>
    <definedName name="UNIFORMANCES2R51C6" hidden="1">[4]Sheet2!$F$51</definedName>
    <definedName name="UNIFORMANCES2R52C6" hidden="1">[4]Sheet2!$F$52</definedName>
    <definedName name="UNIFORMANCES2R53C6" hidden="1">[4]Sheet2!$F$53</definedName>
    <definedName name="UNIFORMANCES2R54C6" hidden="1">[4]Sheet2!$F$54</definedName>
    <definedName name="UNIFORMANCES2R55C6" hidden="1">[4]Sheet2!$F$55</definedName>
    <definedName name="UNIFORMANCES2R56C6" hidden="1">[4]Sheet2!$F$56</definedName>
    <definedName name="UNIFORMANCES2R57C6" hidden="1">[4]Sheet2!$F$57</definedName>
    <definedName name="UNIFORMANCES2R58C6" hidden="1">[4]Sheet2!$F$58</definedName>
    <definedName name="UNIFORMANCES2R59C6" hidden="1">[4]Sheet2!$F$59</definedName>
    <definedName name="UNIFORMANCES2R60C6" hidden="1">[4]Sheet2!$F$60</definedName>
    <definedName name="UNIFORMANCES2R61C6" hidden="1">[4]Sheet2!$F$61</definedName>
    <definedName name="UNIFORMANCES2R62C6" hidden="1">[4]Sheet2!$F$62</definedName>
    <definedName name="UNIFORMANCES2R63C6" hidden="1">[4]Sheet2!$F$63</definedName>
    <definedName name="UNIFORMANCES2R64C6" hidden="1">[4]Sheet2!$F$64</definedName>
    <definedName name="UNIFORMANCES2R65C6" hidden="1">[4]Sheet2!$F$65</definedName>
    <definedName name="UNIFORMANCES2R66C6" hidden="1">[4]Sheet2!$F$66</definedName>
    <definedName name="UNIFORMANCES2R67C6" hidden="1">[4]Sheet2!$F$67</definedName>
    <definedName name="UNIFORMANCES2R68C6" hidden="1">[4]Sheet2!$F$68</definedName>
    <definedName name="UNIFORMANCES2R69C6" hidden="1">[4]Sheet2!$F$69</definedName>
    <definedName name="UNIFORMANCES2R6C6" hidden="1">[4]Sheet2!$F$6</definedName>
    <definedName name="UNIFORMANCES2R70C6" hidden="1">[4]Sheet2!$F$70</definedName>
    <definedName name="UNIFORMANCES2R71C6" hidden="1">[4]Sheet2!$F$71</definedName>
    <definedName name="UNIFORMANCES2R72C6" hidden="1">[4]Sheet2!$F$72</definedName>
    <definedName name="UNIFORMANCES2R73C6" hidden="1">[4]Sheet2!$F$73</definedName>
    <definedName name="UNIFORMANCES2R74C6" hidden="1">[4]Sheet2!$F$74</definedName>
    <definedName name="UNIFORMANCES2R75C6" hidden="1">[4]Sheet2!$F$75</definedName>
    <definedName name="UNIFORMANCES2R76C6" hidden="1">[4]Sheet2!$F$76</definedName>
    <definedName name="UNIFORMANCES2R77C6" hidden="1">[4]Sheet2!$F$77</definedName>
    <definedName name="UNIFORMANCES2R78C6" hidden="1">[4]Sheet2!$F$78</definedName>
    <definedName name="UNIFORMANCES2R79C6" hidden="1">[4]Sheet2!$F$79</definedName>
    <definedName name="UNIFORMANCES2R80C6" hidden="1">[4]Sheet2!$F$80</definedName>
    <definedName name="UNIFORMANCES2R81C6" hidden="1">[4]Sheet2!$F$81</definedName>
    <definedName name="UNIFORMANCES2R82C6" hidden="1">[4]Sheet2!$F$82</definedName>
    <definedName name="UNIFORMANCES2R83C6" hidden="1">[4]Sheet2!$F$83</definedName>
    <definedName name="UNIFORMANCES2R84C6" hidden="1">[4]Sheet2!$F$84</definedName>
    <definedName name="UNIFORMANCES2R85C6" hidden="1">[4]Sheet2!$F$85</definedName>
    <definedName name="UNIFORMANCES2R86C6" hidden="1">[4]Sheet2!$F$86</definedName>
    <definedName name="UNIFORMANCES2R87C6" hidden="1">[4]Sheet2!$F$87</definedName>
    <definedName name="UNIFORMANCES2R88C6" hidden="1">[4]Sheet2!$F$88</definedName>
    <definedName name="UNIFORMANCES2R89C6" hidden="1">[4]Sheet2!$F$89</definedName>
    <definedName name="UNIFORMANCES2R8C6" hidden="1">[4]Sheet2!$F$8</definedName>
    <definedName name="UNIFORMANCES2R90C6" hidden="1">[4]Sheet2!$F$90</definedName>
    <definedName name="UNIFORMANCES2R91C6" hidden="1">[4]Sheet2!$F$91</definedName>
    <definedName name="UNIFORMANCES2R92C6" hidden="1">[4]Sheet2!$F$92</definedName>
    <definedName name="UNIFORMANCES2R93C6" hidden="1">[4]Sheet2!$F$93</definedName>
    <definedName name="UNIFORMANCES2R94C6" hidden="1">[4]Sheet2!$F$94</definedName>
    <definedName name="UNIFORMANCES2R95C6" hidden="1">[4]Sheet2!$F$95</definedName>
    <definedName name="UNIFORMANCES2R96C6" hidden="1">[4]Sheet2!$F$96</definedName>
    <definedName name="UNIFORMANCES2R97C6" hidden="1">[4]Sheet2!$F$97</definedName>
    <definedName name="UNIFORMANCES2R98C6" hidden="1">[4]Sheet2!$F$98</definedName>
    <definedName name="UNIFORMANCES2R99C6" hidden="1">[4]Sheet2!$F$99</definedName>
    <definedName name="UNIFORMANCES2R9C6" hidden="1">[4]Sheet2!$F$9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11" i="105" l="1"/>
  <c r="J11" i="105"/>
  <c r="K11" i="105"/>
  <c r="L11" i="105"/>
  <c r="M11" i="105"/>
  <c r="N11" i="105"/>
  <c r="O11" i="105"/>
  <c r="P11" i="105"/>
  <c r="Q11" i="105"/>
  <c r="R11" i="105"/>
  <c r="S11" i="105"/>
  <c r="T11" i="105"/>
  <c r="U11" i="105"/>
  <c r="V11" i="105"/>
  <c r="W11" i="105"/>
  <c r="X11" i="105"/>
  <c r="Y11" i="105"/>
  <c r="Z11" i="105"/>
  <c r="H11" i="105"/>
  <c r="I28" i="77" l="1"/>
  <c r="J28" i="77"/>
  <c r="K28" i="77"/>
  <c r="L28" i="77"/>
  <c r="M28" i="77"/>
  <c r="N28" i="77"/>
  <c r="O28" i="77"/>
  <c r="P28" i="77"/>
  <c r="Q28" i="77"/>
  <c r="R28" i="77"/>
  <c r="S28" i="77"/>
  <c r="T28" i="77"/>
  <c r="U28" i="77"/>
  <c r="V28" i="77"/>
  <c r="W28" i="77"/>
  <c r="X28" i="77"/>
  <c r="Y28" i="77"/>
  <c r="Z28" i="77"/>
  <c r="D41" i="86"/>
  <c r="C40" i="86"/>
  <c r="CM74" i="106"/>
  <c r="CM73" i="106"/>
  <c r="CM72" i="106"/>
  <c r="CM70" i="106"/>
  <c r="CM69" i="106"/>
  <c r="CM68" i="106"/>
  <c r="CM67" i="106"/>
  <c r="CM66" i="106"/>
  <c r="CM65" i="106"/>
  <c r="CM64" i="106"/>
  <c r="CM63" i="106"/>
  <c r="CM62" i="106"/>
  <c r="CM61" i="106"/>
  <c r="CM60" i="106"/>
  <c r="CM57" i="106"/>
  <c r="CM56" i="106"/>
  <c r="CM55" i="106"/>
  <c r="CM54" i="106"/>
  <c r="CM53" i="106"/>
  <c r="CM52" i="106"/>
  <c r="CM51" i="106"/>
  <c r="CM50" i="106"/>
  <c r="CM49" i="106"/>
  <c r="CM48" i="106"/>
  <c r="CM47" i="106"/>
  <c r="CM46" i="106"/>
  <c r="CM45" i="106"/>
  <c r="CM44" i="106"/>
  <c r="CM39" i="106"/>
  <c r="CM33" i="106"/>
  <c r="CM32" i="106"/>
  <c r="CM31" i="106"/>
  <c r="CM30" i="106"/>
  <c r="CM29" i="106"/>
  <c r="CM28" i="106"/>
  <c r="CM27" i="106"/>
  <c r="CM26" i="106"/>
  <c r="CM25" i="106"/>
  <c r="CM24" i="106"/>
  <c r="CM23" i="106"/>
  <c r="D40" i="86"/>
  <c r="CM22" i="106"/>
  <c r="CM21" i="106"/>
  <c r="CM20" i="106"/>
  <c r="CM19" i="106"/>
  <c r="CM18" i="106"/>
  <c r="CM17" i="106"/>
  <c r="CM16" i="106"/>
  <c r="D39" i="86" s="1"/>
  <c r="D42" i="86" s="1"/>
  <c r="CM14" i="106"/>
  <c r="G16" i="106"/>
  <c r="D38" i="86"/>
  <c r="D37" i="86"/>
  <c r="D32" i="86"/>
  <c r="D22" i="86"/>
  <c r="D12" i="86"/>
  <c r="C18" i="51" l="1"/>
  <c r="H20" i="72"/>
  <c r="I20" i="72"/>
  <c r="J20" i="72"/>
  <c r="K20" i="72"/>
  <c r="L20" i="72"/>
  <c r="M20" i="72"/>
  <c r="N20" i="72"/>
  <c r="O20" i="72"/>
  <c r="P20" i="72"/>
  <c r="Q20" i="72"/>
  <c r="R20" i="72"/>
  <c r="S20" i="72"/>
  <c r="T20" i="72"/>
  <c r="U20" i="72"/>
  <c r="V20" i="72"/>
  <c r="W20" i="72"/>
  <c r="X20" i="72"/>
  <c r="Y20" i="72"/>
  <c r="Z20" i="72"/>
  <c r="AA20" i="72"/>
  <c r="AB20" i="72"/>
  <c r="AC20" i="72"/>
  <c r="AD20" i="72"/>
  <c r="AE20" i="72"/>
  <c r="AF20" i="72"/>
  <c r="AG20" i="72"/>
  <c r="AH20" i="72"/>
  <c r="AI20" i="72"/>
  <c r="AJ20" i="72"/>
  <c r="AK20" i="72"/>
  <c r="AL20" i="72"/>
  <c r="AM20" i="72"/>
  <c r="AN20" i="72"/>
  <c r="AO20" i="72"/>
  <c r="AP20" i="72"/>
  <c r="AQ20" i="72"/>
  <c r="AR20" i="72"/>
  <c r="AS20" i="72"/>
  <c r="AT20" i="72"/>
  <c r="AU20" i="72"/>
  <c r="AV20" i="72"/>
  <c r="AW20" i="72"/>
  <c r="AX20" i="72"/>
  <c r="AY20" i="72"/>
  <c r="AZ20" i="72"/>
  <c r="BA20" i="72"/>
  <c r="BB20" i="72"/>
  <c r="BC20" i="72"/>
  <c r="BD20" i="72"/>
  <c r="BE20" i="72"/>
  <c r="BF20" i="72"/>
  <c r="BG20" i="72"/>
  <c r="BH20" i="72"/>
  <c r="BI20" i="72"/>
  <c r="BJ20" i="72"/>
  <c r="BK20" i="72"/>
  <c r="BL20" i="72"/>
  <c r="BM20" i="72"/>
  <c r="BN20" i="72"/>
  <c r="BO20" i="72"/>
  <c r="BP20" i="72"/>
  <c r="BQ20" i="72"/>
  <c r="BR20" i="72"/>
  <c r="BS20" i="72"/>
  <c r="BT20" i="72"/>
  <c r="BU20" i="72"/>
  <c r="BV20" i="72"/>
  <c r="BW20" i="72"/>
  <c r="BX20" i="72"/>
  <c r="BY20" i="72"/>
  <c r="BZ20" i="72"/>
  <c r="CA20" i="72"/>
  <c r="CB20" i="72"/>
  <c r="CC20" i="72"/>
  <c r="CD20" i="72"/>
  <c r="CE20" i="72"/>
  <c r="CF20" i="72"/>
  <c r="CG20" i="72"/>
  <c r="CH20" i="72"/>
  <c r="CI20" i="72"/>
  <c r="CJ20" i="72"/>
  <c r="CK20" i="72"/>
  <c r="CL20" i="72"/>
  <c r="H21" i="72"/>
  <c r="I21" i="72"/>
  <c r="J21" i="72"/>
  <c r="K21" i="72"/>
  <c r="L21" i="72"/>
  <c r="M21" i="72"/>
  <c r="N21" i="72"/>
  <c r="O21" i="72"/>
  <c r="P21" i="72"/>
  <c r="Q21" i="72"/>
  <c r="R21" i="72"/>
  <c r="S21" i="72"/>
  <c r="T21" i="72"/>
  <c r="U21" i="72"/>
  <c r="V21" i="72"/>
  <c r="W21" i="72"/>
  <c r="X21" i="72"/>
  <c r="Y21" i="72"/>
  <c r="Z21" i="72"/>
  <c r="AA21" i="72"/>
  <c r="AB21" i="72"/>
  <c r="AC21" i="72"/>
  <c r="AD21" i="72"/>
  <c r="AE21" i="72"/>
  <c r="AF21" i="72"/>
  <c r="AG21" i="72"/>
  <c r="AH21" i="72"/>
  <c r="AI21" i="72"/>
  <c r="AJ21" i="72"/>
  <c r="AK21" i="72"/>
  <c r="AL21" i="72"/>
  <c r="AM21" i="72"/>
  <c r="AN21" i="72"/>
  <c r="AO21" i="72"/>
  <c r="AP21" i="72"/>
  <c r="AQ21" i="72"/>
  <c r="AR21" i="72"/>
  <c r="AS21" i="72"/>
  <c r="AT21" i="72"/>
  <c r="AU21" i="72"/>
  <c r="AV21" i="72"/>
  <c r="AW21" i="72"/>
  <c r="AX21" i="72"/>
  <c r="AY21" i="72"/>
  <c r="AZ21" i="72"/>
  <c r="BA21" i="72"/>
  <c r="BB21" i="72"/>
  <c r="BC21" i="72"/>
  <c r="BD21" i="72"/>
  <c r="BE21" i="72"/>
  <c r="BF21" i="72"/>
  <c r="BG21" i="72"/>
  <c r="BH21" i="72"/>
  <c r="BI21" i="72"/>
  <c r="BJ21" i="72"/>
  <c r="BK21" i="72"/>
  <c r="BL21" i="72"/>
  <c r="BM21" i="72"/>
  <c r="BN21" i="72"/>
  <c r="BO21" i="72"/>
  <c r="BP21" i="72"/>
  <c r="BQ21" i="72"/>
  <c r="BR21" i="72"/>
  <c r="BS21" i="72"/>
  <c r="BT21" i="72"/>
  <c r="BU21" i="72"/>
  <c r="BV21" i="72"/>
  <c r="BW21" i="72"/>
  <c r="BX21" i="72"/>
  <c r="BY21" i="72"/>
  <c r="BZ21" i="72"/>
  <c r="CA21" i="72"/>
  <c r="CB21" i="72"/>
  <c r="CC21" i="72"/>
  <c r="CD21" i="72"/>
  <c r="CE21" i="72"/>
  <c r="CF21" i="72"/>
  <c r="CG21" i="72"/>
  <c r="CH21" i="72"/>
  <c r="CI21" i="72"/>
  <c r="CJ21" i="72"/>
  <c r="CK21" i="72"/>
  <c r="CL21" i="72"/>
  <c r="H22" i="72"/>
  <c r="I22" i="72"/>
  <c r="J22" i="72"/>
  <c r="K22" i="72"/>
  <c r="L22" i="72"/>
  <c r="M22" i="72"/>
  <c r="N22" i="72"/>
  <c r="O22" i="72"/>
  <c r="P22" i="72"/>
  <c r="Q22" i="72"/>
  <c r="R22" i="72"/>
  <c r="S22" i="72"/>
  <c r="T22" i="72"/>
  <c r="U22" i="72"/>
  <c r="V22" i="72"/>
  <c r="W22" i="72"/>
  <c r="X22" i="72"/>
  <c r="Y22" i="72"/>
  <c r="Z22" i="72"/>
  <c r="AA22" i="72"/>
  <c r="AB22" i="72"/>
  <c r="AC22" i="72"/>
  <c r="AD22" i="72"/>
  <c r="AE22" i="72"/>
  <c r="AF22" i="72"/>
  <c r="AG22" i="72"/>
  <c r="AH22" i="72"/>
  <c r="AI22" i="72"/>
  <c r="AJ22" i="72"/>
  <c r="AK22" i="72"/>
  <c r="AL22" i="72"/>
  <c r="AM22" i="72"/>
  <c r="AN22" i="72"/>
  <c r="AO22" i="72"/>
  <c r="AP22" i="72"/>
  <c r="AQ22" i="72"/>
  <c r="AR22" i="72"/>
  <c r="AS22" i="72"/>
  <c r="AT22" i="72"/>
  <c r="AU22" i="72"/>
  <c r="AV22" i="72"/>
  <c r="AW22" i="72"/>
  <c r="AX22" i="72"/>
  <c r="AY22" i="72"/>
  <c r="AZ22" i="72"/>
  <c r="BA22" i="72"/>
  <c r="BB22" i="72"/>
  <c r="BC22" i="72"/>
  <c r="BD22" i="72"/>
  <c r="BE22" i="72"/>
  <c r="BF22" i="72"/>
  <c r="BG22" i="72"/>
  <c r="BH22" i="72"/>
  <c r="BI22" i="72"/>
  <c r="BJ22" i="72"/>
  <c r="BK22" i="72"/>
  <c r="BL22" i="72"/>
  <c r="BM22" i="72"/>
  <c r="BN22" i="72"/>
  <c r="BO22" i="72"/>
  <c r="BP22" i="72"/>
  <c r="BQ22" i="72"/>
  <c r="BR22" i="72"/>
  <c r="BS22" i="72"/>
  <c r="BT22" i="72"/>
  <c r="BU22" i="72"/>
  <c r="BV22" i="72"/>
  <c r="BW22" i="72"/>
  <c r="BX22" i="72"/>
  <c r="BY22" i="72"/>
  <c r="BZ22" i="72"/>
  <c r="CA22" i="72"/>
  <c r="CB22" i="72"/>
  <c r="CC22" i="72"/>
  <c r="CD22" i="72"/>
  <c r="CE22" i="72"/>
  <c r="CF22" i="72"/>
  <c r="CG22" i="72"/>
  <c r="CH22" i="72"/>
  <c r="CI22" i="72"/>
  <c r="CJ22" i="72"/>
  <c r="CK22" i="72"/>
  <c r="CL22" i="72"/>
  <c r="G22" i="72"/>
  <c r="G21" i="72"/>
  <c r="G20" i="72"/>
  <c r="G19" i="72"/>
  <c r="G20" i="106"/>
  <c r="H19" i="106"/>
  <c r="I19" i="106"/>
  <c r="J19" i="106"/>
  <c r="K19" i="106"/>
  <c r="L19" i="106"/>
  <c r="M19" i="106"/>
  <c r="N19" i="106"/>
  <c r="O19" i="106"/>
  <c r="P19" i="106"/>
  <c r="Q19" i="106"/>
  <c r="R19" i="106"/>
  <c r="S19" i="106"/>
  <c r="T19" i="106"/>
  <c r="U19" i="106"/>
  <c r="V19" i="106"/>
  <c r="W19" i="106"/>
  <c r="X19" i="106"/>
  <c r="Y19" i="106"/>
  <c r="Z19" i="106"/>
  <c r="AA19" i="106"/>
  <c r="AB19" i="106"/>
  <c r="AC19" i="106"/>
  <c r="AD19" i="106"/>
  <c r="AE19" i="106"/>
  <c r="AF19" i="106"/>
  <c r="AG19" i="106"/>
  <c r="AH19" i="106"/>
  <c r="AI19" i="106"/>
  <c r="AJ19" i="106"/>
  <c r="AK19" i="106"/>
  <c r="AL19" i="106"/>
  <c r="AM19" i="106"/>
  <c r="AN19" i="106"/>
  <c r="AO19" i="106"/>
  <c r="AP19" i="106"/>
  <c r="AQ19" i="106"/>
  <c r="AR19" i="106"/>
  <c r="AS19" i="106"/>
  <c r="AT19" i="106"/>
  <c r="AU19" i="106"/>
  <c r="AV19" i="106"/>
  <c r="AW19" i="106"/>
  <c r="AX19" i="106"/>
  <c r="AY19" i="106"/>
  <c r="AZ19" i="106"/>
  <c r="BA19" i="106"/>
  <c r="BB19" i="106"/>
  <c r="BC19" i="106"/>
  <c r="BD19" i="106"/>
  <c r="BE19" i="106"/>
  <c r="BF19" i="106"/>
  <c r="BG19" i="106"/>
  <c r="BH19" i="106"/>
  <c r="BI19" i="106"/>
  <c r="BJ19" i="106"/>
  <c r="BK19" i="106"/>
  <c r="BL19" i="106"/>
  <c r="BM19" i="106"/>
  <c r="BN19" i="106"/>
  <c r="BO19" i="106"/>
  <c r="BP19" i="106"/>
  <c r="BQ19" i="106"/>
  <c r="BR19" i="106"/>
  <c r="BS19" i="106"/>
  <c r="BT19" i="106"/>
  <c r="BU19" i="106"/>
  <c r="BV19" i="106"/>
  <c r="BW19" i="106"/>
  <c r="BX19" i="106"/>
  <c r="BY19" i="106"/>
  <c r="BZ19" i="106"/>
  <c r="CA19" i="106"/>
  <c r="CB19" i="106"/>
  <c r="CC19" i="106"/>
  <c r="CD19" i="106"/>
  <c r="CE19" i="106"/>
  <c r="CF19" i="106"/>
  <c r="CG19" i="106"/>
  <c r="CH19" i="106"/>
  <c r="CI19" i="106"/>
  <c r="CJ19" i="106"/>
  <c r="CK19" i="106"/>
  <c r="CL19" i="106"/>
  <c r="G19" i="106"/>
  <c r="H18" i="106"/>
  <c r="I18" i="106"/>
  <c r="J18" i="106"/>
  <c r="K18" i="106"/>
  <c r="L18" i="106"/>
  <c r="M18" i="106"/>
  <c r="N18" i="106"/>
  <c r="O18" i="106"/>
  <c r="P18" i="106"/>
  <c r="Q18" i="106"/>
  <c r="R18" i="106"/>
  <c r="S18" i="106"/>
  <c r="T18" i="106"/>
  <c r="U18" i="106"/>
  <c r="V18" i="106"/>
  <c r="W18" i="106"/>
  <c r="X18" i="106"/>
  <c r="Y18" i="106"/>
  <c r="Z18" i="106"/>
  <c r="AA18" i="106"/>
  <c r="AB18" i="106"/>
  <c r="AC18" i="106"/>
  <c r="AD18" i="106"/>
  <c r="AE18" i="106"/>
  <c r="AF18" i="106"/>
  <c r="AG18" i="106"/>
  <c r="AH18" i="106"/>
  <c r="AI18" i="106"/>
  <c r="AJ18" i="106"/>
  <c r="AK18" i="106"/>
  <c r="AL18" i="106"/>
  <c r="AM18" i="106"/>
  <c r="AN18" i="106"/>
  <c r="AO18" i="106"/>
  <c r="AP18" i="106"/>
  <c r="AQ18" i="106"/>
  <c r="AR18" i="106"/>
  <c r="AS18" i="106"/>
  <c r="AT18" i="106"/>
  <c r="AU18" i="106"/>
  <c r="AV18" i="106"/>
  <c r="AW18" i="106"/>
  <c r="AX18" i="106"/>
  <c r="AY18" i="106"/>
  <c r="AZ18" i="106"/>
  <c r="BA18" i="106"/>
  <c r="BB18" i="106"/>
  <c r="BC18" i="106"/>
  <c r="BD18" i="106"/>
  <c r="BE18" i="106"/>
  <c r="BF18" i="106"/>
  <c r="BG18" i="106"/>
  <c r="BH18" i="106"/>
  <c r="BI18" i="106"/>
  <c r="BJ18" i="106"/>
  <c r="BK18" i="106"/>
  <c r="BL18" i="106"/>
  <c r="BM18" i="106"/>
  <c r="BN18" i="106"/>
  <c r="BO18" i="106"/>
  <c r="BP18" i="106"/>
  <c r="BQ18" i="106"/>
  <c r="BR18" i="106"/>
  <c r="BS18" i="106"/>
  <c r="BT18" i="106"/>
  <c r="BU18" i="106"/>
  <c r="BV18" i="106"/>
  <c r="BW18" i="106"/>
  <c r="BX18" i="106"/>
  <c r="BY18" i="106"/>
  <c r="BZ18" i="106"/>
  <c r="CA18" i="106"/>
  <c r="CB18" i="106"/>
  <c r="CC18" i="106"/>
  <c r="CD18" i="106"/>
  <c r="CE18" i="106"/>
  <c r="CF18" i="106"/>
  <c r="CG18" i="106"/>
  <c r="CH18" i="106"/>
  <c r="CI18" i="106"/>
  <c r="CJ18" i="106"/>
  <c r="CK18" i="106"/>
  <c r="CL18" i="106"/>
  <c r="G18" i="106"/>
  <c r="H17" i="106"/>
  <c r="I17" i="106"/>
  <c r="J17" i="106"/>
  <c r="K17" i="106"/>
  <c r="L17" i="106"/>
  <c r="M17" i="106"/>
  <c r="N17" i="106"/>
  <c r="O17" i="106"/>
  <c r="P17" i="106"/>
  <c r="Q17" i="106"/>
  <c r="R17" i="106"/>
  <c r="S17" i="106"/>
  <c r="T17" i="106"/>
  <c r="U17" i="106"/>
  <c r="V17" i="106"/>
  <c r="W17" i="106"/>
  <c r="W66" i="106" s="1"/>
  <c r="X17" i="106"/>
  <c r="Y17" i="106"/>
  <c r="Z17" i="106"/>
  <c r="AA17" i="106"/>
  <c r="AB17" i="106"/>
  <c r="AC17" i="106"/>
  <c r="AD17" i="106"/>
  <c r="AE17" i="106"/>
  <c r="AE66" i="106" s="1"/>
  <c r="AF17" i="106"/>
  <c r="AG17" i="106"/>
  <c r="AH17" i="106"/>
  <c r="AI17" i="106"/>
  <c r="AJ17" i="106"/>
  <c r="AK17" i="106"/>
  <c r="AL17" i="106"/>
  <c r="AM17" i="106"/>
  <c r="AM66" i="106" s="1"/>
  <c r="AN17" i="106"/>
  <c r="AO17" i="106"/>
  <c r="AP17" i="106"/>
  <c r="AQ17" i="106"/>
  <c r="AR17" i="106"/>
  <c r="AS17" i="106"/>
  <c r="AT17" i="106"/>
  <c r="AU17" i="106"/>
  <c r="AV17" i="106"/>
  <c r="AW17" i="106"/>
  <c r="AX17" i="106"/>
  <c r="AY17" i="106"/>
  <c r="AZ17" i="106"/>
  <c r="BA17" i="106"/>
  <c r="BB17" i="106"/>
  <c r="BC17" i="106"/>
  <c r="BC66" i="106" s="1"/>
  <c r="BD17" i="106"/>
  <c r="BE17" i="106"/>
  <c r="BF17" i="106"/>
  <c r="BG17" i="106"/>
  <c r="BH17" i="106"/>
  <c r="BI17" i="106"/>
  <c r="BJ17" i="106"/>
  <c r="BK17" i="106"/>
  <c r="BK66" i="106" s="1"/>
  <c r="BL17" i="106"/>
  <c r="BM17" i="106"/>
  <c r="BN17" i="106"/>
  <c r="BO17" i="106"/>
  <c r="BP17" i="106"/>
  <c r="BQ17" i="106"/>
  <c r="BR17" i="106"/>
  <c r="BS17" i="106"/>
  <c r="BS66" i="106" s="1"/>
  <c r="BT17" i="106"/>
  <c r="BU17" i="106"/>
  <c r="BV17" i="106"/>
  <c r="BW17" i="106"/>
  <c r="BX17" i="106"/>
  <c r="BY17" i="106"/>
  <c r="BZ17" i="106"/>
  <c r="CA17" i="106"/>
  <c r="CB17" i="106"/>
  <c r="CC17" i="106"/>
  <c r="CD17" i="106"/>
  <c r="CE17" i="106"/>
  <c r="CF17" i="106"/>
  <c r="CG17" i="106"/>
  <c r="CH17" i="106"/>
  <c r="CI17" i="106"/>
  <c r="CI66" i="106" s="1"/>
  <c r="CJ17" i="106"/>
  <c r="CK17" i="106"/>
  <c r="CL17" i="106"/>
  <c r="G17" i="106"/>
  <c r="H16" i="106"/>
  <c r="I16" i="106"/>
  <c r="J16" i="106"/>
  <c r="K16" i="106"/>
  <c r="L16" i="106"/>
  <c r="M16" i="106"/>
  <c r="N16" i="106"/>
  <c r="O16" i="106"/>
  <c r="P16" i="106"/>
  <c r="Q16" i="106"/>
  <c r="R16" i="106"/>
  <c r="S16" i="106"/>
  <c r="T16" i="106"/>
  <c r="U16" i="106"/>
  <c r="V16" i="106"/>
  <c r="W16" i="106"/>
  <c r="X16" i="106"/>
  <c r="Y16" i="106"/>
  <c r="Z16" i="106"/>
  <c r="AA16" i="106"/>
  <c r="AB16" i="106"/>
  <c r="AC16" i="106"/>
  <c r="AC35" i="106" s="1"/>
  <c r="AD16" i="106"/>
  <c r="AE16" i="106"/>
  <c r="AF16" i="106"/>
  <c r="AG16" i="106"/>
  <c r="AH16" i="106"/>
  <c r="AI16" i="106"/>
  <c r="AJ16" i="106"/>
  <c r="AK16" i="106"/>
  <c r="AL16" i="106"/>
  <c r="AM16" i="106"/>
  <c r="AN16" i="106"/>
  <c r="AO16" i="106"/>
  <c r="AP16" i="106"/>
  <c r="AQ16" i="106"/>
  <c r="AR16" i="106"/>
  <c r="AS16" i="106"/>
  <c r="AT16" i="106"/>
  <c r="AU16" i="106"/>
  <c r="AV16" i="106"/>
  <c r="AW16" i="106"/>
  <c r="AX16" i="106"/>
  <c r="AY16" i="106"/>
  <c r="AZ16" i="106"/>
  <c r="AZ34" i="106" s="1"/>
  <c r="BA16" i="106"/>
  <c r="BB16" i="106"/>
  <c r="BC16" i="106"/>
  <c r="BD16" i="106"/>
  <c r="BE16" i="106"/>
  <c r="BF16" i="106"/>
  <c r="BG16" i="106"/>
  <c r="BH16" i="106"/>
  <c r="BI16" i="106"/>
  <c r="BJ16" i="106"/>
  <c r="BK16" i="106"/>
  <c r="BL16" i="106"/>
  <c r="BM16" i="106"/>
  <c r="BN16" i="106"/>
  <c r="BO16" i="106"/>
  <c r="BP16" i="106"/>
  <c r="BQ16" i="106"/>
  <c r="BR16" i="106"/>
  <c r="BS16" i="106"/>
  <c r="BT16" i="106"/>
  <c r="BU16" i="106"/>
  <c r="BV16" i="106"/>
  <c r="BW16" i="106"/>
  <c r="BX16" i="106"/>
  <c r="BY16" i="106"/>
  <c r="BZ16" i="106"/>
  <c r="CA16" i="106"/>
  <c r="CB16" i="106"/>
  <c r="CC16" i="106"/>
  <c r="CD16" i="106"/>
  <c r="CE16" i="106"/>
  <c r="CF16" i="106"/>
  <c r="CG16" i="106"/>
  <c r="CG36" i="106" s="1"/>
  <c r="CH16" i="106"/>
  <c r="CI16" i="106"/>
  <c r="CJ16" i="106"/>
  <c r="CK16" i="106"/>
  <c r="CL16" i="106"/>
  <c r="O12" i="47"/>
  <c r="O13" i="47"/>
  <c r="O14" i="47"/>
  <c r="O15" i="47"/>
  <c r="O16" i="47"/>
  <c r="O17" i="47"/>
  <c r="O18" i="47"/>
  <c r="O19" i="47"/>
  <c r="O20" i="47"/>
  <c r="O11" i="47"/>
  <c r="H15" i="106"/>
  <c r="I15" i="106"/>
  <c r="J15" i="106"/>
  <c r="K15" i="106"/>
  <c r="L15" i="106"/>
  <c r="M15" i="106"/>
  <c r="N15" i="106"/>
  <c r="O15" i="106"/>
  <c r="CM15" i="106" s="1"/>
  <c r="P15" i="106"/>
  <c r="Q15" i="106"/>
  <c r="R15" i="106"/>
  <c r="S15" i="106"/>
  <c r="T15" i="106"/>
  <c r="U15" i="106"/>
  <c r="V15" i="106"/>
  <c r="W15" i="106"/>
  <c r="W22" i="106" s="1"/>
  <c r="X15" i="106"/>
  <c r="Y15" i="106"/>
  <c r="Y21" i="106" s="1"/>
  <c r="Z15" i="106"/>
  <c r="AA15" i="106"/>
  <c r="AB15" i="106"/>
  <c r="AC15" i="106"/>
  <c r="AD15" i="106"/>
  <c r="AE15" i="106"/>
  <c r="AE32" i="106" s="1"/>
  <c r="AF15" i="106"/>
  <c r="AG15" i="106"/>
  <c r="AH15" i="106"/>
  <c r="AI15" i="106"/>
  <c r="AJ15" i="106"/>
  <c r="AK15" i="106"/>
  <c r="AL15" i="106"/>
  <c r="AM15" i="106"/>
  <c r="AM21" i="106" s="1"/>
  <c r="AN15" i="106"/>
  <c r="AO15" i="106"/>
  <c r="AP15" i="106"/>
  <c r="AQ15" i="106"/>
  <c r="AR15" i="106"/>
  <c r="AS15" i="106"/>
  <c r="AT15" i="106"/>
  <c r="AU15" i="106"/>
  <c r="AV15" i="106"/>
  <c r="AW15" i="106"/>
  <c r="AX15" i="106"/>
  <c r="AY15" i="106"/>
  <c r="AZ15" i="106"/>
  <c r="BA15" i="106"/>
  <c r="BB15" i="106"/>
  <c r="BC15" i="106"/>
  <c r="BD15" i="106"/>
  <c r="BE15" i="106"/>
  <c r="BF15" i="106"/>
  <c r="BG15" i="106"/>
  <c r="BH15" i="106"/>
  <c r="BI15" i="106"/>
  <c r="BJ15" i="106"/>
  <c r="BK15" i="106"/>
  <c r="BL15" i="106"/>
  <c r="BM15" i="106"/>
  <c r="BM32" i="106" s="1"/>
  <c r="BN15" i="106"/>
  <c r="BO15" i="106"/>
  <c r="BP15" i="106"/>
  <c r="BQ15" i="106"/>
  <c r="BR15" i="106"/>
  <c r="BS15" i="106"/>
  <c r="BT15" i="106"/>
  <c r="BU15" i="106"/>
  <c r="BV15" i="106"/>
  <c r="BW15" i="106"/>
  <c r="BX15" i="106"/>
  <c r="BY15" i="106"/>
  <c r="BZ15" i="106"/>
  <c r="CA15" i="106"/>
  <c r="CB15" i="106"/>
  <c r="CC15" i="106"/>
  <c r="CD15" i="106"/>
  <c r="CE15" i="106"/>
  <c r="CF15" i="106"/>
  <c r="CG15" i="106"/>
  <c r="CH15" i="106"/>
  <c r="CI15" i="106"/>
  <c r="CJ15" i="106"/>
  <c r="CK15" i="106"/>
  <c r="CL15" i="106"/>
  <c r="G15" i="106"/>
  <c r="H14" i="106"/>
  <c r="I14" i="106"/>
  <c r="J14" i="106"/>
  <c r="K14" i="106"/>
  <c r="L14" i="106"/>
  <c r="M14" i="106"/>
  <c r="N14" i="106"/>
  <c r="O14" i="106"/>
  <c r="P14" i="106"/>
  <c r="P25" i="106" s="1"/>
  <c r="Q14" i="106"/>
  <c r="Q25" i="106" s="1"/>
  <c r="R14" i="106"/>
  <c r="R31" i="106" s="1"/>
  <c r="S14" i="106"/>
  <c r="T14" i="106"/>
  <c r="U14" i="106"/>
  <c r="V14" i="106"/>
  <c r="W14" i="106"/>
  <c r="X14" i="106"/>
  <c r="Y14" i="106"/>
  <c r="Z14" i="106"/>
  <c r="Z48" i="106" s="1"/>
  <c r="AA14" i="106"/>
  <c r="AB14" i="106"/>
  <c r="AC14" i="106"/>
  <c r="AD14" i="106"/>
  <c r="AE14" i="106"/>
  <c r="AF14" i="106"/>
  <c r="AG14" i="106"/>
  <c r="AH14" i="106"/>
  <c r="AI14" i="106"/>
  <c r="AJ14" i="106"/>
  <c r="AK14" i="106"/>
  <c r="AK22" i="106" s="1"/>
  <c r="AL14" i="106"/>
  <c r="AM14" i="106"/>
  <c r="AN14" i="106"/>
  <c r="AO14" i="106"/>
  <c r="AO25" i="106" s="1"/>
  <c r="AP14" i="106"/>
  <c r="AP48" i="106" s="1"/>
  <c r="AQ14" i="106"/>
  <c r="AR14" i="106"/>
  <c r="AS14" i="106"/>
  <c r="AT14" i="106"/>
  <c r="AU14" i="106"/>
  <c r="AV14" i="106"/>
  <c r="AW14" i="106"/>
  <c r="AX14" i="106"/>
  <c r="AY14" i="106"/>
  <c r="AZ14" i="106"/>
  <c r="BA14" i="106"/>
  <c r="BB14" i="106"/>
  <c r="BC14" i="106"/>
  <c r="BD14" i="106"/>
  <c r="BE14" i="106"/>
  <c r="BE25" i="106" s="1"/>
  <c r="BF14" i="106"/>
  <c r="BF25" i="106" s="1"/>
  <c r="BG14" i="106"/>
  <c r="BH14" i="106"/>
  <c r="BI14" i="106"/>
  <c r="BI21" i="106" s="1"/>
  <c r="BJ14" i="106"/>
  <c r="BK14" i="106"/>
  <c r="BL14" i="106"/>
  <c r="BL25" i="106" s="1"/>
  <c r="BM14" i="106"/>
  <c r="BM48" i="106" s="1"/>
  <c r="BN14" i="106"/>
  <c r="BO14" i="106"/>
  <c r="BP14" i="106"/>
  <c r="BQ14" i="106"/>
  <c r="BR14" i="106"/>
  <c r="BS14" i="106"/>
  <c r="BT14" i="106"/>
  <c r="BU14" i="106"/>
  <c r="BV14" i="106"/>
  <c r="BV48" i="106" s="1"/>
  <c r="BW14" i="106"/>
  <c r="BX14" i="106"/>
  <c r="BY14" i="106"/>
  <c r="BZ14" i="106"/>
  <c r="CA14" i="106"/>
  <c r="CB14" i="106"/>
  <c r="CB25" i="106" s="1"/>
  <c r="CC14" i="106"/>
  <c r="CC25" i="106" s="1"/>
  <c r="CD14" i="106"/>
  <c r="CD25" i="106" s="1"/>
  <c r="CE14" i="106"/>
  <c r="CF14" i="106"/>
  <c r="CG14" i="106"/>
  <c r="CH14" i="106"/>
  <c r="CI14" i="106"/>
  <c r="CJ14" i="106"/>
  <c r="CK14" i="106"/>
  <c r="CL14" i="106"/>
  <c r="G14" i="106"/>
  <c r="H13" i="106"/>
  <c r="I13" i="106"/>
  <c r="J13" i="106"/>
  <c r="K13" i="106"/>
  <c r="L13" i="106"/>
  <c r="M13" i="106"/>
  <c r="N13" i="106"/>
  <c r="O13" i="106"/>
  <c r="O24" i="106" s="1"/>
  <c r="P13" i="106"/>
  <c r="P30" i="106" s="1"/>
  <c r="Q13" i="106"/>
  <c r="R13" i="106"/>
  <c r="S13" i="106"/>
  <c r="T13" i="106"/>
  <c r="U13" i="106"/>
  <c r="U24" i="106" s="1"/>
  <c r="V13" i="106"/>
  <c r="W13" i="106"/>
  <c r="X13" i="106"/>
  <c r="X30" i="106" s="1"/>
  <c r="Y13" i="106"/>
  <c r="Z13" i="106"/>
  <c r="AA13" i="106"/>
  <c r="AB13" i="106"/>
  <c r="AB20" i="106" s="1"/>
  <c r="AC13" i="106"/>
  <c r="AD13" i="106"/>
  <c r="AE13" i="106"/>
  <c r="AF13" i="106"/>
  <c r="AG13" i="106"/>
  <c r="AH13" i="106"/>
  <c r="AI13" i="106"/>
  <c r="AJ13" i="106"/>
  <c r="AK13" i="106"/>
  <c r="AL13" i="106"/>
  <c r="AM13" i="106"/>
  <c r="AN13" i="106"/>
  <c r="AO13" i="106"/>
  <c r="AO30" i="106" s="1"/>
  <c r="AP13" i="106"/>
  <c r="AQ13" i="106"/>
  <c r="AR13" i="106"/>
  <c r="AS13" i="106"/>
  <c r="AT13" i="106"/>
  <c r="AU13" i="106"/>
  <c r="AV13" i="106"/>
  <c r="AW13" i="106"/>
  <c r="AW30" i="106" s="1"/>
  <c r="AX13" i="106"/>
  <c r="AY13" i="106"/>
  <c r="AZ13" i="106"/>
  <c r="AZ21" i="106" s="1"/>
  <c r="BA13" i="106"/>
  <c r="BB13" i="106"/>
  <c r="BC13" i="106"/>
  <c r="BD13" i="106"/>
  <c r="BD30" i="106" s="1"/>
  <c r="BE13" i="106"/>
  <c r="BF13" i="106"/>
  <c r="BG13" i="106"/>
  <c r="BH13" i="106"/>
  <c r="BI13" i="106"/>
  <c r="BI24" i="106" s="1"/>
  <c r="BJ13" i="106"/>
  <c r="BK13" i="106"/>
  <c r="BL13" i="106"/>
  <c r="BL30" i="106" s="1"/>
  <c r="BM13" i="106"/>
  <c r="BN13" i="106"/>
  <c r="BO13" i="106"/>
  <c r="BP13" i="106"/>
  <c r="BQ13" i="106"/>
  <c r="BR13" i="106"/>
  <c r="BS13" i="106"/>
  <c r="BS47" i="106" s="1"/>
  <c r="BT13" i="106"/>
  <c r="BU13" i="106"/>
  <c r="BV13" i="106"/>
  <c r="BW13" i="106"/>
  <c r="BX13" i="106"/>
  <c r="BY13" i="106"/>
  <c r="BZ13" i="106"/>
  <c r="CA13" i="106"/>
  <c r="CA24" i="106" s="1"/>
  <c r="CB13" i="106"/>
  <c r="CC13" i="106"/>
  <c r="CC30" i="106" s="1"/>
  <c r="CD13" i="106"/>
  <c r="CE13" i="106"/>
  <c r="CF13" i="106"/>
  <c r="CG13" i="106"/>
  <c r="CH13" i="106"/>
  <c r="CI13" i="106"/>
  <c r="CI47" i="106" s="1"/>
  <c r="CJ13" i="106"/>
  <c r="CK13" i="106"/>
  <c r="CL13" i="106"/>
  <c r="G13" i="106"/>
  <c r="G47" i="106" s="1"/>
  <c r="H12" i="106"/>
  <c r="H20" i="106" s="1"/>
  <c r="I12" i="106"/>
  <c r="J12" i="106"/>
  <c r="K12" i="106"/>
  <c r="L12" i="106"/>
  <c r="M12" i="106"/>
  <c r="N12" i="106"/>
  <c r="O12" i="106"/>
  <c r="P12" i="106"/>
  <c r="Q12" i="106"/>
  <c r="R12" i="106"/>
  <c r="S12" i="106"/>
  <c r="S21" i="106" s="1"/>
  <c r="T12" i="106"/>
  <c r="U12" i="106"/>
  <c r="V12" i="106"/>
  <c r="W12" i="106"/>
  <c r="X12" i="106"/>
  <c r="Y12" i="106"/>
  <c r="Z12" i="106"/>
  <c r="AA12" i="106"/>
  <c r="AB12" i="106"/>
  <c r="AC12" i="106"/>
  <c r="AD12" i="106"/>
  <c r="AE12" i="106"/>
  <c r="AF12" i="106"/>
  <c r="AG12" i="106"/>
  <c r="AH12" i="106"/>
  <c r="AI12" i="106"/>
  <c r="AJ12" i="106"/>
  <c r="AK12" i="106"/>
  <c r="AK29" i="106" s="1"/>
  <c r="AL12" i="106"/>
  <c r="AM12" i="106"/>
  <c r="AN12" i="106"/>
  <c r="AO12" i="106"/>
  <c r="AP12" i="106"/>
  <c r="AQ12" i="106"/>
  <c r="AQ21" i="106" s="1"/>
  <c r="AR12" i="106"/>
  <c r="AS12" i="106"/>
  <c r="AT12" i="106"/>
  <c r="AU12" i="106"/>
  <c r="AV12" i="106"/>
  <c r="AV22" i="106" s="1"/>
  <c r="AW12" i="106"/>
  <c r="AX12" i="106"/>
  <c r="AY12" i="106"/>
  <c r="AZ12" i="106"/>
  <c r="BA12" i="106"/>
  <c r="BB12" i="106"/>
  <c r="BC12" i="106"/>
  <c r="BD12" i="106"/>
  <c r="BE12" i="106"/>
  <c r="BF12" i="106"/>
  <c r="BG12" i="106"/>
  <c r="BH12" i="106"/>
  <c r="BI12" i="106"/>
  <c r="BI29" i="106" s="1"/>
  <c r="BJ12" i="106"/>
  <c r="BK12" i="106"/>
  <c r="BL12" i="106"/>
  <c r="BM12" i="106"/>
  <c r="BN12" i="106"/>
  <c r="BO12" i="106"/>
  <c r="BP12" i="106"/>
  <c r="BQ12" i="106"/>
  <c r="BR12" i="106"/>
  <c r="BS12" i="106"/>
  <c r="BT12" i="106"/>
  <c r="BU12" i="106"/>
  <c r="BV12" i="106"/>
  <c r="BW12" i="106"/>
  <c r="BW21" i="106" s="1"/>
  <c r="BX12" i="106"/>
  <c r="BY12" i="106"/>
  <c r="BZ12" i="106"/>
  <c r="CA12" i="106"/>
  <c r="CB12" i="106"/>
  <c r="CB20" i="106" s="1"/>
  <c r="CC12" i="106"/>
  <c r="CD12" i="106"/>
  <c r="CE12" i="106"/>
  <c r="CE20" i="106" s="1"/>
  <c r="CF12" i="106"/>
  <c r="CG12" i="106"/>
  <c r="CH12" i="106"/>
  <c r="CI12" i="106"/>
  <c r="CJ12" i="106"/>
  <c r="CK12" i="106"/>
  <c r="CL12" i="106"/>
  <c r="G12" i="106"/>
  <c r="CL57" i="106"/>
  <c r="CK57" i="106"/>
  <c r="CJ57" i="106"/>
  <c r="CI57" i="106"/>
  <c r="CH57" i="106"/>
  <c r="CG57" i="106"/>
  <c r="CF57" i="106"/>
  <c r="CE57" i="106"/>
  <c r="CD57" i="106"/>
  <c r="CC57" i="106"/>
  <c r="CB57" i="106"/>
  <c r="CA57" i="106"/>
  <c r="BZ57" i="106"/>
  <c r="BY57" i="106"/>
  <c r="BX57" i="106"/>
  <c r="BW57" i="106"/>
  <c r="BV57" i="106"/>
  <c r="BU57" i="106"/>
  <c r="BT57" i="106"/>
  <c r="BS57" i="106"/>
  <c r="BR57" i="106"/>
  <c r="BQ57" i="106"/>
  <c r="BP57" i="106"/>
  <c r="BO57" i="106"/>
  <c r="BN57" i="106"/>
  <c r="BM57" i="106"/>
  <c r="BL57" i="106"/>
  <c r="BK57" i="106"/>
  <c r="BJ57" i="106"/>
  <c r="BI57" i="106"/>
  <c r="BH57" i="106"/>
  <c r="BG57" i="106"/>
  <c r="BF57" i="106"/>
  <c r="BE57" i="106"/>
  <c r="BD57" i="106"/>
  <c r="BC57" i="106"/>
  <c r="BB57" i="106"/>
  <c r="BA57" i="106"/>
  <c r="AZ57" i="106"/>
  <c r="AY57" i="106"/>
  <c r="AX57" i="106"/>
  <c r="AW57" i="106"/>
  <c r="AV57" i="106"/>
  <c r="AU57" i="106"/>
  <c r="AT57" i="106"/>
  <c r="AS57" i="106"/>
  <c r="AR57" i="106"/>
  <c r="AQ57" i="106"/>
  <c r="AP57" i="106"/>
  <c r="AO57" i="106"/>
  <c r="AN57" i="106"/>
  <c r="AM57" i="106"/>
  <c r="AL57" i="106"/>
  <c r="AK57" i="106"/>
  <c r="AJ57" i="106"/>
  <c r="AI57" i="106"/>
  <c r="AH57" i="106"/>
  <c r="AG57" i="106"/>
  <c r="AF57" i="106"/>
  <c r="AE57" i="106"/>
  <c r="AD57" i="106"/>
  <c r="AC57" i="106"/>
  <c r="AB57" i="106"/>
  <c r="AA57" i="106"/>
  <c r="Z57" i="106"/>
  <c r="Y57" i="106"/>
  <c r="X57" i="106"/>
  <c r="W57" i="106"/>
  <c r="V57" i="106"/>
  <c r="U57" i="106"/>
  <c r="T57" i="106"/>
  <c r="S57" i="106"/>
  <c r="FU41" i="106"/>
  <c r="FT41" i="106"/>
  <c r="FS41" i="106"/>
  <c r="FR41" i="106"/>
  <c r="FQ41" i="106"/>
  <c r="FP41" i="106"/>
  <c r="FO41" i="106"/>
  <c r="FN41" i="106"/>
  <c r="FM41" i="106"/>
  <c r="FL41" i="106"/>
  <c r="FK41" i="106"/>
  <c r="FJ41" i="106"/>
  <c r="FI41" i="106"/>
  <c r="FH41" i="106"/>
  <c r="FG41" i="106"/>
  <c r="FF41" i="106"/>
  <c r="FE41" i="106"/>
  <c r="FD41" i="106"/>
  <c r="FC41" i="106"/>
  <c r="FB41" i="106"/>
  <c r="FA41" i="106"/>
  <c r="EZ41" i="106"/>
  <c r="EY41" i="106"/>
  <c r="EX41" i="106"/>
  <c r="EW41" i="106"/>
  <c r="EV41" i="106"/>
  <c r="EU41" i="106"/>
  <c r="ET41" i="106"/>
  <c r="ES41" i="106"/>
  <c r="ER41" i="106"/>
  <c r="EQ41" i="106"/>
  <c r="EP41" i="106"/>
  <c r="EO41" i="106"/>
  <c r="EN41" i="106"/>
  <c r="EM41" i="106"/>
  <c r="EL41" i="106"/>
  <c r="EK41" i="106"/>
  <c r="EJ41" i="106"/>
  <c r="EI41" i="106"/>
  <c r="EH41" i="106"/>
  <c r="EG41" i="106"/>
  <c r="EF41" i="106"/>
  <c r="EE41" i="106"/>
  <c r="ED41" i="106"/>
  <c r="EC41" i="106"/>
  <c r="EB41" i="106"/>
  <c r="EA41" i="106"/>
  <c r="DZ41" i="106"/>
  <c r="DY41" i="106"/>
  <c r="DX41" i="106"/>
  <c r="DW41" i="106"/>
  <c r="DV41" i="106"/>
  <c r="DU41" i="106"/>
  <c r="DT41" i="106"/>
  <c r="DS41" i="106"/>
  <c r="DR41" i="106"/>
  <c r="DQ41" i="106"/>
  <c r="DP41" i="106"/>
  <c r="DO41" i="106"/>
  <c r="DN41" i="106"/>
  <c r="DM41" i="106"/>
  <c r="DL41" i="106"/>
  <c r="DK41" i="106"/>
  <c r="DJ41" i="106"/>
  <c r="DI41" i="106"/>
  <c r="DH41" i="106"/>
  <c r="DG41" i="106"/>
  <c r="DF41" i="106"/>
  <c r="DE41" i="106"/>
  <c r="DD41" i="106"/>
  <c r="DC41" i="106"/>
  <c r="DB41" i="106"/>
  <c r="DA41" i="106"/>
  <c r="CZ41" i="106"/>
  <c r="CY41" i="106"/>
  <c r="CX41" i="106"/>
  <c r="CW41" i="106"/>
  <c r="CV41" i="106"/>
  <c r="CU41" i="106"/>
  <c r="CT41" i="106"/>
  <c r="CS41" i="106"/>
  <c r="CR41" i="106"/>
  <c r="CQ41" i="106"/>
  <c r="CP41" i="106"/>
  <c r="CO41" i="106"/>
  <c r="FV40" i="106"/>
  <c r="FV39" i="106"/>
  <c r="BS39" i="106"/>
  <c r="AM39" i="106"/>
  <c r="FV38" i="106"/>
  <c r="FV37" i="106"/>
  <c r="W37" i="106"/>
  <c r="FV36" i="106"/>
  <c r="FV35" i="106"/>
  <c r="BZ35" i="106"/>
  <c r="FV34" i="106"/>
  <c r="BA34" i="106"/>
  <c r="N34" i="106"/>
  <c r="CJ33" i="106"/>
  <c r="CH33" i="106"/>
  <c r="BL33" i="106"/>
  <c r="BJ33" i="106"/>
  <c r="BB33" i="106"/>
  <c r="AG33" i="106"/>
  <c r="AF33" i="106"/>
  <c r="AD33" i="106"/>
  <c r="D33" i="106"/>
  <c r="CG32" i="106"/>
  <c r="CE32" i="106"/>
  <c r="BW32" i="106"/>
  <c r="BB32" i="106"/>
  <c r="BA32" i="106"/>
  <c r="AY32" i="106"/>
  <c r="AD32" i="106"/>
  <c r="V32" i="106"/>
  <c r="CE31" i="106"/>
  <c r="BG31" i="106"/>
  <c r="AP31" i="106"/>
  <c r="AI31" i="106"/>
  <c r="S31" i="106"/>
  <c r="CB30" i="106"/>
  <c r="AN30" i="106"/>
  <c r="AM30" i="106"/>
  <c r="BY29" i="106"/>
  <c r="BH29" i="106"/>
  <c r="M29" i="106"/>
  <c r="CB27" i="106"/>
  <c r="CA27" i="106"/>
  <c r="BZ27" i="106"/>
  <c r="BJ27" i="106"/>
  <c r="BD27" i="106"/>
  <c r="BC27" i="106"/>
  <c r="AM27" i="106"/>
  <c r="AL27" i="106"/>
  <c r="AF27" i="106"/>
  <c r="P27" i="106"/>
  <c r="O27" i="106"/>
  <c r="N27" i="106"/>
  <c r="CE26" i="106"/>
  <c r="BY26" i="106"/>
  <c r="BX26" i="106"/>
  <c r="BH26" i="106"/>
  <c r="BG26" i="106"/>
  <c r="AK26" i="106"/>
  <c r="AJ26" i="106"/>
  <c r="AI26" i="106"/>
  <c r="S26" i="106"/>
  <c r="M26" i="106"/>
  <c r="L26" i="106"/>
  <c r="BD25" i="106"/>
  <c r="AN25" i="106"/>
  <c r="AH25" i="106"/>
  <c r="AG25" i="106"/>
  <c r="BZ24" i="106"/>
  <c r="BY24" i="106"/>
  <c r="BC24" i="106"/>
  <c r="BB24" i="106"/>
  <c r="AL24" i="106"/>
  <c r="AK24" i="106"/>
  <c r="N24" i="106"/>
  <c r="M24" i="106"/>
  <c r="BX23" i="106"/>
  <c r="BF23" i="106"/>
  <c r="L23" i="106"/>
  <c r="AA22" i="106"/>
  <c r="F22" i="106"/>
  <c r="F21" i="106"/>
  <c r="T20" i="106"/>
  <c r="L20" i="106"/>
  <c r="F20" i="106"/>
  <c r="F19" i="106"/>
  <c r="F18" i="106"/>
  <c r="CH66" i="106"/>
  <c r="CA66" i="106"/>
  <c r="BZ66" i="106"/>
  <c r="BR66" i="106"/>
  <c r="BJ66" i="106"/>
  <c r="BB66" i="106"/>
  <c r="AU66" i="106"/>
  <c r="AT66" i="106"/>
  <c r="AL66" i="106"/>
  <c r="AD66" i="106"/>
  <c r="V66" i="106"/>
  <c r="O66" i="106"/>
  <c r="N66" i="106"/>
  <c r="CL37" i="106"/>
  <c r="CJ27" i="106"/>
  <c r="CI27" i="106"/>
  <c r="CH27" i="106"/>
  <c r="CD23" i="106"/>
  <c r="BW34" i="106"/>
  <c r="BV23" i="106"/>
  <c r="BU34" i="106"/>
  <c r="BP23" i="106"/>
  <c r="BO38" i="106"/>
  <c r="BN23" i="106"/>
  <c r="BM33" i="106"/>
  <c r="BL27" i="106"/>
  <c r="BK27" i="106"/>
  <c r="BG23" i="106"/>
  <c r="BF37" i="106"/>
  <c r="BD40" i="106"/>
  <c r="BC37" i="106"/>
  <c r="AX23" i="106"/>
  <c r="AW36" i="106"/>
  <c r="AR33" i="106"/>
  <c r="AP33" i="106"/>
  <c r="AO33" i="106"/>
  <c r="AN27" i="106"/>
  <c r="AJ23" i="106"/>
  <c r="AI34" i="106"/>
  <c r="AH43" i="106"/>
  <c r="AH61" i="106" s="1"/>
  <c r="AG34" i="106"/>
  <c r="AD35" i="106"/>
  <c r="AA35" i="106"/>
  <c r="Z23" i="106"/>
  <c r="X27" i="106"/>
  <c r="W27" i="106"/>
  <c r="V27" i="106"/>
  <c r="S34" i="106"/>
  <c r="R23" i="106"/>
  <c r="Q36" i="106"/>
  <c r="J23" i="106"/>
  <c r="CH32" i="106"/>
  <c r="CG49" i="106"/>
  <c r="CF26" i="106"/>
  <c r="CE49" i="106"/>
  <c r="BW49" i="106"/>
  <c r="BK32" i="106"/>
  <c r="BJ32" i="106"/>
  <c r="BI26" i="106"/>
  <c r="BD22" i="106"/>
  <c r="BA49" i="106"/>
  <c r="AY49" i="106"/>
  <c r="AS26" i="106"/>
  <c r="AR26" i="106"/>
  <c r="AQ49" i="106"/>
  <c r="AG32" i="106"/>
  <c r="U49" i="106"/>
  <c r="T26" i="106"/>
  <c r="S49" i="106"/>
  <c r="P22" i="106"/>
  <c r="K49" i="106"/>
  <c r="I32" i="106"/>
  <c r="CL25" i="106"/>
  <c r="CH31" i="106"/>
  <c r="CF31" i="106"/>
  <c r="BP31" i="106"/>
  <c r="BO31" i="106"/>
  <c r="BN48" i="106"/>
  <c r="BM31" i="106"/>
  <c r="BH31" i="106"/>
  <c r="AZ31" i="106"/>
  <c r="AY31" i="106"/>
  <c r="AX48" i="106"/>
  <c r="AR31" i="106"/>
  <c r="AQ31" i="106"/>
  <c r="AJ31" i="106"/>
  <c r="AH48" i="106"/>
  <c r="AC20" i="106"/>
  <c r="AB31" i="106"/>
  <c r="AA31" i="106"/>
  <c r="U20" i="106"/>
  <c r="T31" i="106"/>
  <c r="R48" i="106"/>
  <c r="M20" i="106"/>
  <c r="J48" i="106"/>
  <c r="CK30" i="106"/>
  <c r="CJ30" i="106"/>
  <c r="CH24" i="106"/>
  <c r="CG24" i="106"/>
  <c r="CA47" i="106"/>
  <c r="BU30" i="106"/>
  <c r="BT30" i="106"/>
  <c r="BN20" i="106"/>
  <c r="BM30" i="106"/>
  <c r="BK47" i="106"/>
  <c r="BJ24" i="106"/>
  <c r="BC47" i="106"/>
  <c r="AV30" i="106"/>
  <c r="AU47" i="106"/>
  <c r="AM47" i="106"/>
  <c r="AE47" i="106"/>
  <c r="Y30" i="106"/>
  <c r="W47" i="106"/>
  <c r="V24" i="106"/>
  <c r="Q30" i="106"/>
  <c r="O47" i="106"/>
  <c r="I30" i="106"/>
  <c r="H30" i="106"/>
  <c r="CH29" i="106"/>
  <c r="CG29" i="106"/>
  <c r="CF29" i="106"/>
  <c r="BZ21" i="106"/>
  <c r="BY21" i="106"/>
  <c r="BX20" i="106"/>
  <c r="BV21" i="106"/>
  <c r="BR29" i="106"/>
  <c r="BQ29" i="106"/>
  <c r="BP29" i="106"/>
  <c r="BO20" i="106"/>
  <c r="BJ29" i="106"/>
  <c r="BI20" i="106"/>
  <c r="BH20" i="106"/>
  <c r="BG20" i="106"/>
  <c r="BB21" i="106"/>
  <c r="AZ29" i="106"/>
  <c r="AT29" i="106"/>
  <c r="AS29" i="106"/>
  <c r="AR29" i="106"/>
  <c r="AN22" i="106"/>
  <c r="AL21" i="106"/>
  <c r="AK46" i="106"/>
  <c r="AJ46" i="106"/>
  <c r="AD29" i="106"/>
  <c r="AC46" i="106"/>
  <c r="AB46" i="106"/>
  <c r="AA21" i="106"/>
  <c r="V21" i="106"/>
  <c r="U46" i="106"/>
  <c r="T46" i="106"/>
  <c r="P20" i="106"/>
  <c r="N29" i="106"/>
  <c r="M46" i="106"/>
  <c r="L46" i="106"/>
  <c r="CM11" i="106"/>
  <c r="CM10" i="106"/>
  <c r="CM9" i="106"/>
  <c r="CM8" i="106"/>
  <c r="CM7" i="106"/>
  <c r="CM6" i="106"/>
  <c r="CM5" i="106"/>
  <c r="CM4" i="106"/>
  <c r="CM3" i="106"/>
  <c r="CM2" i="106"/>
  <c r="E14" i="51"/>
  <c r="AC38" i="106" l="1"/>
  <c r="M66" i="106"/>
  <c r="U66" i="106"/>
  <c r="AC66" i="106"/>
  <c r="AK66" i="106"/>
  <c r="AS66" i="106"/>
  <c r="BA66" i="106"/>
  <c r="BI66" i="106"/>
  <c r="BQ66" i="106"/>
  <c r="BY66" i="106"/>
  <c r="CG66" i="106"/>
  <c r="G66" i="106"/>
  <c r="BM20" i="106"/>
  <c r="BV20" i="106"/>
  <c r="BE22" i="106"/>
  <c r="BF48" i="106"/>
  <c r="BF20" i="106"/>
  <c r="R21" i="106"/>
  <c r="Z21" i="106"/>
  <c r="CA21" i="106"/>
  <c r="BK22" i="106"/>
  <c r="AE22" i="106"/>
  <c r="BW20" i="106"/>
  <c r="CE21" i="106"/>
  <c r="G46" i="106"/>
  <c r="G29" i="106"/>
  <c r="AU46" i="106"/>
  <c r="AU29" i="106"/>
  <c r="CI46" i="106"/>
  <c r="CI29" i="106"/>
  <c r="AP47" i="106"/>
  <c r="AP24" i="106"/>
  <c r="AP30" i="106"/>
  <c r="CD47" i="106"/>
  <c r="CD24" i="106"/>
  <c r="CD30" i="106"/>
  <c r="AS48" i="106"/>
  <c r="AS25" i="106"/>
  <c r="AS31" i="106"/>
  <c r="BY48" i="106"/>
  <c r="BY31" i="106"/>
  <c r="BY25" i="106"/>
  <c r="AF49" i="106"/>
  <c r="AF32" i="106"/>
  <c r="AF26" i="106"/>
  <c r="BL49" i="106"/>
  <c r="BL32" i="106"/>
  <c r="BL26" i="106"/>
  <c r="K44" i="106"/>
  <c r="K64" i="106" s="1"/>
  <c r="K42" i="106"/>
  <c r="K60" i="106" s="1"/>
  <c r="K45" i="106"/>
  <c r="K63" i="106" s="1"/>
  <c r="K40" i="106"/>
  <c r="K36" i="106"/>
  <c r="K39" i="106"/>
  <c r="K34" i="106"/>
  <c r="K43" i="106"/>
  <c r="K61" i="106" s="1"/>
  <c r="K38" i="106"/>
  <c r="K37" i="106"/>
  <c r="K27" i="106"/>
  <c r="AQ44" i="106"/>
  <c r="AQ64" i="106" s="1"/>
  <c r="AQ42" i="106"/>
  <c r="AQ60" i="106" s="1"/>
  <c r="AQ45" i="106"/>
  <c r="AQ63" i="106" s="1"/>
  <c r="AQ40" i="106"/>
  <c r="AQ36" i="106"/>
  <c r="AQ39" i="106"/>
  <c r="AQ33" i="106"/>
  <c r="AQ43" i="106"/>
  <c r="AQ61" i="106" s="1"/>
  <c r="AQ38" i="106"/>
  <c r="AQ34" i="106"/>
  <c r="AQ37" i="106"/>
  <c r="AQ35" i="106"/>
  <c r="AQ27" i="106"/>
  <c r="CE44" i="106"/>
  <c r="CE64" i="106" s="1"/>
  <c r="CE42" i="106"/>
  <c r="CE60" i="106" s="1"/>
  <c r="CE45" i="106"/>
  <c r="CE63" i="106" s="1"/>
  <c r="CE40" i="106"/>
  <c r="CE36" i="106"/>
  <c r="CE43" i="106"/>
  <c r="CE61" i="106" s="1"/>
  <c r="CE33" i="106"/>
  <c r="CE37" i="106"/>
  <c r="CE39" i="106"/>
  <c r="CE38" i="106"/>
  <c r="CE34" i="106"/>
  <c r="CE27" i="106"/>
  <c r="AK20" i="106"/>
  <c r="AU20" i="106"/>
  <c r="BD20" i="106"/>
  <c r="CD21" i="106"/>
  <c r="X46" i="106"/>
  <c r="X29" i="106"/>
  <c r="X21" i="106"/>
  <c r="BD46" i="106"/>
  <c r="BD29" i="106"/>
  <c r="BD21" i="106"/>
  <c r="CJ46" i="106"/>
  <c r="CJ29" i="106"/>
  <c r="CJ21" i="106"/>
  <c r="AI47" i="106"/>
  <c r="AI24" i="106"/>
  <c r="AI30" i="106"/>
  <c r="BO47" i="106"/>
  <c r="BO24" i="106"/>
  <c r="BO30" i="106"/>
  <c r="N48" i="106"/>
  <c r="N25" i="106"/>
  <c r="N31" i="106"/>
  <c r="AT48" i="106"/>
  <c r="AT25" i="106"/>
  <c r="AT31" i="106"/>
  <c r="BZ48" i="106"/>
  <c r="BZ25" i="106"/>
  <c r="BZ31" i="106"/>
  <c r="Y49" i="106"/>
  <c r="Y26" i="106"/>
  <c r="Y32" i="106"/>
  <c r="AW49" i="106"/>
  <c r="AW32" i="106"/>
  <c r="AW26" i="106"/>
  <c r="CC49" i="106"/>
  <c r="CC32" i="106"/>
  <c r="CC26" i="106"/>
  <c r="T44" i="106"/>
  <c r="T64" i="106" s="1"/>
  <c r="T39" i="106"/>
  <c r="T35" i="106"/>
  <c r="T42" i="106"/>
  <c r="T60" i="106" s="1"/>
  <c r="T45" i="106"/>
  <c r="T63" i="106" s="1"/>
  <c r="T40" i="106"/>
  <c r="T36" i="106"/>
  <c r="T43" i="106"/>
  <c r="T61" i="106" s="1"/>
  <c r="T37" i="106"/>
  <c r="T38" i="106"/>
  <c r="T27" i="106"/>
  <c r="AZ45" i="106"/>
  <c r="AZ63" i="106" s="1"/>
  <c r="AZ44" i="106"/>
  <c r="AZ64" i="106" s="1"/>
  <c r="AZ39" i="106"/>
  <c r="AZ35" i="106"/>
  <c r="AZ42" i="106"/>
  <c r="AZ60" i="106" s="1"/>
  <c r="AZ40" i="106"/>
  <c r="AZ36" i="106"/>
  <c r="AZ43" i="106"/>
  <c r="AZ61" i="106" s="1"/>
  <c r="AZ37" i="106"/>
  <c r="AZ38" i="106"/>
  <c r="AZ27" i="106"/>
  <c r="BH45" i="106"/>
  <c r="BH63" i="106" s="1"/>
  <c r="BH44" i="106"/>
  <c r="BH64" i="106" s="1"/>
  <c r="BH39" i="106"/>
  <c r="BH35" i="106"/>
  <c r="BH42" i="106"/>
  <c r="BH60" i="106" s="1"/>
  <c r="BH40" i="106"/>
  <c r="BH36" i="106"/>
  <c r="BH43" i="106"/>
  <c r="BH61" i="106" s="1"/>
  <c r="BH37" i="106"/>
  <c r="BH38" i="106"/>
  <c r="BH33" i="106"/>
  <c r="BH27" i="106"/>
  <c r="BH34" i="106"/>
  <c r="CF45" i="106"/>
  <c r="CF63" i="106" s="1"/>
  <c r="CF44" i="106"/>
  <c r="CF64" i="106" s="1"/>
  <c r="CF39" i="106"/>
  <c r="CF35" i="106"/>
  <c r="CF42" i="106"/>
  <c r="CF60" i="106" s="1"/>
  <c r="CF40" i="106"/>
  <c r="CF36" i="106"/>
  <c r="CF43" i="106"/>
  <c r="CF61" i="106" s="1"/>
  <c r="CF37" i="106"/>
  <c r="CF38" i="106"/>
  <c r="CF34" i="106"/>
  <c r="CF27" i="106"/>
  <c r="BE20" i="106"/>
  <c r="CF20" i="106"/>
  <c r="AR21" i="106"/>
  <c r="BJ21" i="106"/>
  <c r="Q22" i="106"/>
  <c r="AB22" i="106"/>
  <c r="AM22" i="106"/>
  <c r="CB22" i="106"/>
  <c r="T29" i="106"/>
  <c r="AL29" i="106"/>
  <c r="AI38" i="106"/>
  <c r="I46" i="106"/>
  <c r="I29" i="106"/>
  <c r="Q46" i="106"/>
  <c r="Q29" i="106"/>
  <c r="Y46" i="106"/>
  <c r="Y29" i="106"/>
  <c r="AG46" i="106"/>
  <c r="AG29" i="106"/>
  <c r="AO46" i="106"/>
  <c r="AO29" i="106"/>
  <c r="AW46" i="106"/>
  <c r="AW29" i="106"/>
  <c r="BE46" i="106"/>
  <c r="BE29" i="106"/>
  <c r="BM46" i="106"/>
  <c r="BM29" i="106"/>
  <c r="BM28" i="106" s="1"/>
  <c r="BU46" i="106"/>
  <c r="BU29" i="106"/>
  <c r="CC46" i="106"/>
  <c r="CC29" i="106"/>
  <c r="CK46" i="106"/>
  <c r="CK29" i="106"/>
  <c r="L47" i="106"/>
  <c r="L24" i="106"/>
  <c r="L30" i="106"/>
  <c r="T47" i="106"/>
  <c r="T24" i="106"/>
  <c r="T30" i="106"/>
  <c r="AB47" i="106"/>
  <c r="AB24" i="106"/>
  <c r="AB30" i="106"/>
  <c r="AJ47" i="106"/>
  <c r="AJ24" i="106"/>
  <c r="AJ30" i="106"/>
  <c r="AR47" i="106"/>
  <c r="AR24" i="106"/>
  <c r="AR30" i="106"/>
  <c r="AZ47" i="106"/>
  <c r="AZ24" i="106"/>
  <c r="AZ30" i="106"/>
  <c r="AZ28" i="106" s="1"/>
  <c r="BH47" i="106"/>
  <c r="BH24" i="106"/>
  <c r="BH30" i="106"/>
  <c r="BP47" i="106"/>
  <c r="BP24" i="106"/>
  <c r="BP30" i="106"/>
  <c r="BX47" i="106"/>
  <c r="BX24" i="106"/>
  <c r="BX30" i="106"/>
  <c r="CF24" i="106"/>
  <c r="CF47" i="106"/>
  <c r="CF30" i="106"/>
  <c r="G48" i="106"/>
  <c r="G25" i="106"/>
  <c r="G31" i="106"/>
  <c r="O48" i="106"/>
  <c r="O25" i="106"/>
  <c r="O31" i="106"/>
  <c r="W48" i="106"/>
  <c r="W25" i="106"/>
  <c r="W31" i="106"/>
  <c r="AE48" i="106"/>
  <c r="AE25" i="106"/>
  <c r="AE31" i="106"/>
  <c r="AM48" i="106"/>
  <c r="AM25" i="106"/>
  <c r="AM31" i="106"/>
  <c r="AU48" i="106"/>
  <c r="AU25" i="106"/>
  <c r="AU31" i="106"/>
  <c r="BC48" i="106"/>
  <c r="BC25" i="106"/>
  <c r="BC31" i="106"/>
  <c r="BK48" i="106"/>
  <c r="BK25" i="106"/>
  <c r="BK31" i="106"/>
  <c r="BS48" i="106"/>
  <c r="BS25" i="106"/>
  <c r="BS31" i="106"/>
  <c r="CA25" i="106"/>
  <c r="CA31" i="106"/>
  <c r="CA48" i="106"/>
  <c r="CI48" i="106"/>
  <c r="CI25" i="106"/>
  <c r="CI31" i="106"/>
  <c r="J49" i="106"/>
  <c r="J26" i="106"/>
  <c r="R49" i="106"/>
  <c r="R32" i="106"/>
  <c r="R26" i="106"/>
  <c r="Z49" i="106"/>
  <c r="Z26" i="106"/>
  <c r="Z32" i="106"/>
  <c r="AH49" i="106"/>
  <c r="AH26" i="106"/>
  <c r="AH32" i="106"/>
  <c r="AP26" i="106"/>
  <c r="AP49" i="106"/>
  <c r="AX49" i="106"/>
  <c r="AX32" i="106"/>
  <c r="AX26" i="106"/>
  <c r="BF26" i="106"/>
  <c r="BF49" i="106"/>
  <c r="BF32" i="106"/>
  <c r="BN49" i="106"/>
  <c r="BN26" i="106"/>
  <c r="BN32" i="106"/>
  <c r="BV49" i="106"/>
  <c r="BV26" i="106"/>
  <c r="CD49" i="106"/>
  <c r="CD32" i="106"/>
  <c r="CD26" i="106"/>
  <c r="CL49" i="106"/>
  <c r="CL26" i="106"/>
  <c r="CL32" i="106"/>
  <c r="M42" i="106"/>
  <c r="M60" i="106" s="1"/>
  <c r="M45" i="106"/>
  <c r="M63" i="106" s="1"/>
  <c r="M43" i="106"/>
  <c r="M61" i="106" s="1"/>
  <c r="M37" i="106"/>
  <c r="M36" i="106"/>
  <c r="M40" i="106"/>
  <c r="M44" i="106"/>
  <c r="M64" i="106" s="1"/>
  <c r="M34" i="106"/>
  <c r="M27" i="106"/>
  <c r="M38" i="106"/>
  <c r="M39" i="106"/>
  <c r="M35" i="106"/>
  <c r="M23" i="106"/>
  <c r="U42" i="106"/>
  <c r="U60" i="106" s="1"/>
  <c r="U45" i="106"/>
  <c r="U63" i="106" s="1"/>
  <c r="U43" i="106"/>
  <c r="U61" i="106" s="1"/>
  <c r="U37" i="106"/>
  <c r="U44" i="106"/>
  <c r="U64" i="106" s="1"/>
  <c r="U39" i="106"/>
  <c r="U38" i="106"/>
  <c r="U27" i="106"/>
  <c r="U35" i="106"/>
  <c r="U34" i="106"/>
  <c r="U23" i="106"/>
  <c r="AC42" i="106"/>
  <c r="AC60" i="106" s="1"/>
  <c r="AC45" i="106"/>
  <c r="AC63" i="106" s="1"/>
  <c r="AC43" i="106"/>
  <c r="AC61" i="106" s="1"/>
  <c r="AC37" i="106"/>
  <c r="AC44" i="106"/>
  <c r="AC64" i="106" s="1"/>
  <c r="AC36" i="106"/>
  <c r="AC40" i="106"/>
  <c r="AC34" i="106"/>
  <c r="AC39" i="106"/>
  <c r="AC33" i="106"/>
  <c r="AC27" i="106"/>
  <c r="AC23" i="106"/>
  <c r="AK42" i="106"/>
  <c r="AK60" i="106" s="1"/>
  <c r="AK45" i="106"/>
  <c r="AK63" i="106" s="1"/>
  <c r="AK43" i="106"/>
  <c r="AK61" i="106" s="1"/>
  <c r="AK37" i="106"/>
  <c r="AK35" i="106"/>
  <c r="AK39" i="106"/>
  <c r="AK44" i="106"/>
  <c r="AK64" i="106" s="1"/>
  <c r="AK27" i="106"/>
  <c r="AK36" i="106"/>
  <c r="AK40" i="106"/>
  <c r="AK33" i="106"/>
  <c r="AK38" i="106"/>
  <c r="AK23" i="106"/>
  <c r="AS42" i="106"/>
  <c r="AS60" i="106" s="1"/>
  <c r="AS45" i="106"/>
  <c r="AS63" i="106" s="1"/>
  <c r="AS43" i="106"/>
  <c r="AS61" i="106" s="1"/>
  <c r="AS37" i="106"/>
  <c r="AS36" i="106"/>
  <c r="AS40" i="106"/>
  <c r="AS27" i="106"/>
  <c r="AS35" i="106"/>
  <c r="AS34" i="106"/>
  <c r="AS38" i="106"/>
  <c r="AS44" i="106"/>
  <c r="AS64" i="106" s="1"/>
  <c r="AS39" i="106"/>
  <c r="AS33" i="106"/>
  <c r="AS23" i="106"/>
  <c r="BA42" i="106"/>
  <c r="BA60" i="106" s="1"/>
  <c r="BA45" i="106"/>
  <c r="BA63" i="106" s="1"/>
  <c r="BA43" i="106"/>
  <c r="BA61" i="106" s="1"/>
  <c r="BA37" i="106"/>
  <c r="BA35" i="106"/>
  <c r="BA44" i="106"/>
  <c r="BA64" i="106" s="1"/>
  <c r="BA39" i="106"/>
  <c r="BA40" i="106"/>
  <c r="BA38" i="106"/>
  <c r="BA27" i="106"/>
  <c r="BA23" i="106"/>
  <c r="BI42" i="106"/>
  <c r="BI60" i="106" s="1"/>
  <c r="BI43" i="106"/>
  <c r="BI61" i="106" s="1"/>
  <c r="BI37" i="106"/>
  <c r="BI45" i="106"/>
  <c r="BI63" i="106" s="1"/>
  <c r="BI34" i="106"/>
  <c r="BI44" i="106"/>
  <c r="BI64" i="106" s="1"/>
  <c r="BI36" i="106"/>
  <c r="BI40" i="106"/>
  <c r="BI39" i="106"/>
  <c r="BI33" i="106"/>
  <c r="BI27" i="106"/>
  <c r="BI35" i="106"/>
  <c r="BI23" i="106"/>
  <c r="BQ42" i="106"/>
  <c r="BQ60" i="106" s="1"/>
  <c r="BQ43" i="106"/>
  <c r="BQ61" i="106" s="1"/>
  <c r="BQ37" i="106"/>
  <c r="BQ35" i="106"/>
  <c r="BQ45" i="106"/>
  <c r="BQ63" i="106" s="1"/>
  <c r="BQ39" i="106"/>
  <c r="BQ34" i="106"/>
  <c r="BQ27" i="106"/>
  <c r="BQ36" i="106"/>
  <c r="BQ33" i="106"/>
  <c r="BQ44" i="106"/>
  <c r="BQ64" i="106" s="1"/>
  <c r="BQ38" i="106"/>
  <c r="BQ40" i="106"/>
  <c r="BQ23" i="106"/>
  <c r="BY45" i="106"/>
  <c r="BY63" i="106" s="1"/>
  <c r="BY42" i="106"/>
  <c r="BY60" i="106" s="1"/>
  <c r="BY43" i="106"/>
  <c r="BY61" i="106" s="1"/>
  <c r="BY37" i="106"/>
  <c r="BY34" i="106"/>
  <c r="BY36" i="106"/>
  <c r="BY40" i="106"/>
  <c r="BY27" i="106"/>
  <c r="BY44" i="106"/>
  <c r="BY64" i="106" s="1"/>
  <c r="BY38" i="106"/>
  <c r="BY39" i="106"/>
  <c r="BY33" i="106"/>
  <c r="BY23" i="106"/>
  <c r="CG45" i="106"/>
  <c r="CG63" i="106" s="1"/>
  <c r="CG42" i="106"/>
  <c r="CG60" i="106" s="1"/>
  <c r="CG33" i="106"/>
  <c r="CG43" i="106"/>
  <c r="CG61" i="106" s="1"/>
  <c r="CG37" i="106"/>
  <c r="CG35" i="106"/>
  <c r="CG44" i="106"/>
  <c r="CG64" i="106" s="1"/>
  <c r="CG39" i="106"/>
  <c r="CG34" i="106"/>
  <c r="CG38" i="106"/>
  <c r="CG27" i="106"/>
  <c r="CG40" i="106"/>
  <c r="CG23" i="106"/>
  <c r="H66" i="106"/>
  <c r="P66" i="106"/>
  <c r="X66" i="106"/>
  <c r="AF66" i="106"/>
  <c r="AN66" i="106"/>
  <c r="AV66" i="106"/>
  <c r="BD66" i="106"/>
  <c r="BL66" i="106"/>
  <c r="BT66" i="106"/>
  <c r="CB66" i="106"/>
  <c r="CJ66" i="106"/>
  <c r="N20" i="106"/>
  <c r="V20" i="106"/>
  <c r="AE20" i="106"/>
  <c r="AN20" i="106"/>
  <c r="AW20" i="106"/>
  <c r="CG20" i="106"/>
  <c r="I21" i="106"/>
  <c r="AJ21" i="106"/>
  <c r="AS21" i="106"/>
  <c r="BK21" i="106"/>
  <c r="CG21" i="106"/>
  <c r="H22" i="106"/>
  <c r="S22" i="106"/>
  <c r="AC22" i="106"/>
  <c r="CC22" i="106"/>
  <c r="S23" i="106"/>
  <c r="AP23" i="106"/>
  <c r="BH23" i="106"/>
  <c r="CE23" i="106"/>
  <c r="AM24" i="106"/>
  <c r="R25" i="106"/>
  <c r="AQ26" i="106"/>
  <c r="U29" i="106"/>
  <c r="W30" i="106"/>
  <c r="CI30" i="106"/>
  <c r="BN31" i="106"/>
  <c r="BP34" i="106"/>
  <c r="Z37" i="106"/>
  <c r="BI38" i="106"/>
  <c r="U40" i="106"/>
  <c r="O46" i="106"/>
  <c r="O29" i="106"/>
  <c r="BC46" i="106"/>
  <c r="BC29" i="106"/>
  <c r="J47" i="106"/>
  <c r="J24" i="106"/>
  <c r="J30" i="106"/>
  <c r="AH47" i="106"/>
  <c r="AH24" i="106"/>
  <c r="AH30" i="106"/>
  <c r="BV47" i="106"/>
  <c r="BV24" i="106"/>
  <c r="BV30" i="106"/>
  <c r="CL47" i="106"/>
  <c r="CL24" i="106"/>
  <c r="CL30" i="106"/>
  <c r="AK48" i="106"/>
  <c r="AK25" i="106"/>
  <c r="AK31" i="106"/>
  <c r="BA48" i="106"/>
  <c r="BA25" i="106"/>
  <c r="BA31" i="106"/>
  <c r="X49" i="106"/>
  <c r="X32" i="106"/>
  <c r="X26" i="106"/>
  <c r="BT49" i="106"/>
  <c r="BT32" i="106"/>
  <c r="BT26" i="106"/>
  <c r="S44" i="106"/>
  <c r="S64" i="106" s="1"/>
  <c r="S42" i="106"/>
  <c r="S60" i="106" s="1"/>
  <c r="S45" i="106"/>
  <c r="S63" i="106" s="1"/>
  <c r="S40" i="106"/>
  <c r="S36" i="106"/>
  <c r="S43" i="106"/>
  <c r="S61" i="106" s="1"/>
  <c r="S37" i="106"/>
  <c r="S39" i="106"/>
  <c r="S38" i="106"/>
  <c r="S35" i="106"/>
  <c r="S27" i="106"/>
  <c r="AY44" i="106"/>
  <c r="AY64" i="106" s="1"/>
  <c r="AY42" i="106"/>
  <c r="AY60" i="106" s="1"/>
  <c r="AY45" i="106"/>
  <c r="AY63" i="106" s="1"/>
  <c r="AY40" i="106"/>
  <c r="AY36" i="106"/>
  <c r="AY43" i="106"/>
  <c r="AY61" i="106" s="1"/>
  <c r="AY33" i="106"/>
  <c r="AY37" i="106"/>
  <c r="AY39" i="106"/>
  <c r="AY38" i="106"/>
  <c r="AY27" i="106"/>
  <c r="CA22" i="106"/>
  <c r="AI23" i="106"/>
  <c r="BZ29" i="106"/>
  <c r="BE30" i="106"/>
  <c r="CE35" i="106"/>
  <c r="BR46" i="106"/>
  <c r="AF46" i="106"/>
  <c r="AF29" i="106"/>
  <c r="AF28" i="106" s="1"/>
  <c r="AF21" i="106"/>
  <c r="BL46" i="106"/>
  <c r="BL29" i="106"/>
  <c r="BL21" i="106"/>
  <c r="K47" i="106"/>
  <c r="K24" i="106"/>
  <c r="K30" i="106"/>
  <c r="AA47" i="106"/>
  <c r="AA24" i="106"/>
  <c r="AA30" i="106"/>
  <c r="BG47" i="106"/>
  <c r="BG24" i="106"/>
  <c r="BG30" i="106"/>
  <c r="CE47" i="106"/>
  <c r="CE24" i="106"/>
  <c r="CE30" i="106"/>
  <c r="AL48" i="106"/>
  <c r="AL25" i="106"/>
  <c r="AL31" i="106"/>
  <c r="BR48" i="106"/>
  <c r="BR25" i="106"/>
  <c r="BR31" i="106"/>
  <c r="Q49" i="106"/>
  <c r="Q32" i="106"/>
  <c r="Q26" i="106"/>
  <c r="AO49" i="106"/>
  <c r="AO26" i="106"/>
  <c r="BU49" i="106"/>
  <c r="BU26" i="106"/>
  <c r="AJ44" i="106"/>
  <c r="AJ64" i="106" s="1"/>
  <c r="AJ39" i="106"/>
  <c r="AJ35" i="106"/>
  <c r="AJ42" i="106"/>
  <c r="AJ60" i="106" s="1"/>
  <c r="AJ45" i="106"/>
  <c r="AJ63" i="106" s="1"/>
  <c r="AJ40" i="106"/>
  <c r="AJ36" i="106"/>
  <c r="AJ43" i="106"/>
  <c r="AJ61" i="106" s="1"/>
  <c r="AJ37" i="106"/>
  <c r="AJ34" i="106"/>
  <c r="AJ27" i="106"/>
  <c r="AJ33" i="106"/>
  <c r="AJ38" i="106"/>
  <c r="AM20" i="106"/>
  <c r="Q21" i="106"/>
  <c r="AI21" i="106"/>
  <c r="BA21" i="106"/>
  <c r="BU21" i="106"/>
  <c r="G22" i="106"/>
  <c r="BK30" i="106"/>
  <c r="J46" i="106"/>
  <c r="J29" i="106"/>
  <c r="J22" i="106"/>
  <c r="R46" i="106"/>
  <c r="R29" i="106"/>
  <c r="R22" i="106"/>
  <c r="Z46" i="106"/>
  <c r="Z29" i="106"/>
  <c r="Z22" i="106"/>
  <c r="AH46" i="106"/>
  <c r="AH29" i="106"/>
  <c r="AH22" i="106"/>
  <c r="AP46" i="106"/>
  <c r="AP29" i="106"/>
  <c r="AP22" i="106"/>
  <c r="AX46" i="106"/>
  <c r="AX29" i="106"/>
  <c r="AX22" i="106"/>
  <c r="BF46" i="106"/>
  <c r="BF29" i="106"/>
  <c r="BF22" i="106"/>
  <c r="BN46" i="106"/>
  <c r="BN29" i="106"/>
  <c r="BN22" i="106"/>
  <c r="BV46" i="106"/>
  <c r="BV29" i="106"/>
  <c r="BV22" i="106"/>
  <c r="CD46" i="106"/>
  <c r="CD29" i="106"/>
  <c r="CD22" i="106"/>
  <c r="CL46" i="106"/>
  <c r="CL29" i="106"/>
  <c r="CL22" i="106"/>
  <c r="M47" i="106"/>
  <c r="M30" i="106"/>
  <c r="U47" i="106"/>
  <c r="U30" i="106"/>
  <c r="AC47" i="106"/>
  <c r="AC30" i="106"/>
  <c r="AK47" i="106"/>
  <c r="AK30" i="106"/>
  <c r="AS47" i="106"/>
  <c r="AS30" i="106"/>
  <c r="BA47" i="106"/>
  <c r="BA30" i="106"/>
  <c r="BI47" i="106"/>
  <c r="BI30" i="106"/>
  <c r="BQ47" i="106"/>
  <c r="BQ30" i="106"/>
  <c r="BY47" i="106"/>
  <c r="BY30" i="106"/>
  <c r="CG47" i="106"/>
  <c r="CG30" i="106"/>
  <c r="H48" i="106"/>
  <c r="H31" i="106"/>
  <c r="P48" i="106"/>
  <c r="P31" i="106"/>
  <c r="X48" i="106"/>
  <c r="X31" i="106"/>
  <c r="AF48" i="106"/>
  <c r="AF31" i="106"/>
  <c r="AN48" i="106"/>
  <c r="AN31" i="106"/>
  <c r="AV48" i="106"/>
  <c r="AV31" i="106"/>
  <c r="BD48" i="106"/>
  <c r="BD31" i="106"/>
  <c r="BL48" i="106"/>
  <c r="BL31" i="106"/>
  <c r="BT48" i="106"/>
  <c r="BT31" i="106"/>
  <c r="CB48" i="106"/>
  <c r="CB31" i="106"/>
  <c r="CJ48" i="106"/>
  <c r="CJ31" i="106"/>
  <c r="AA49" i="106"/>
  <c r="AA32" i="106"/>
  <c r="AI49" i="106"/>
  <c r="AI32" i="106"/>
  <c r="BG49" i="106"/>
  <c r="BG32" i="106"/>
  <c r="BO49" i="106"/>
  <c r="BO32" i="106"/>
  <c r="N42" i="106"/>
  <c r="N60" i="106" s="1"/>
  <c r="N45" i="106"/>
  <c r="N63" i="106" s="1"/>
  <c r="N40" i="106"/>
  <c r="N36" i="106"/>
  <c r="N43" i="106"/>
  <c r="N61" i="106" s="1"/>
  <c r="N37" i="106"/>
  <c r="N41" i="106" s="1"/>
  <c r="N62" i="106" s="1"/>
  <c r="N38" i="106"/>
  <c r="N44" i="106"/>
  <c r="N64" i="106" s="1"/>
  <c r="N39" i="106"/>
  <c r="N35" i="106"/>
  <c r="N23" i="106"/>
  <c r="V42" i="106"/>
  <c r="V60" i="106" s="1"/>
  <c r="V45" i="106"/>
  <c r="V63" i="106" s="1"/>
  <c r="V40" i="106"/>
  <c r="V36" i="106"/>
  <c r="V43" i="106"/>
  <c r="V61" i="106" s="1"/>
  <c r="V37" i="106"/>
  <c r="V38" i="106"/>
  <c r="V34" i="106"/>
  <c r="V44" i="106"/>
  <c r="V64" i="106" s="1"/>
  <c r="V39" i="106"/>
  <c r="V35" i="106"/>
  <c r="V23" i="106"/>
  <c r="AD42" i="106"/>
  <c r="AD60" i="106" s="1"/>
  <c r="AD45" i="106"/>
  <c r="AD63" i="106" s="1"/>
  <c r="AD40" i="106"/>
  <c r="AD36" i="106"/>
  <c r="AD43" i="106"/>
  <c r="AD61" i="106" s="1"/>
  <c r="AD37" i="106"/>
  <c r="AD38" i="106"/>
  <c r="AD44" i="106"/>
  <c r="AD64" i="106" s="1"/>
  <c r="AD39" i="106"/>
  <c r="AD34" i="106"/>
  <c r="AD23" i="106"/>
  <c r="AL42" i="106"/>
  <c r="AL60" i="106" s="1"/>
  <c r="AL45" i="106"/>
  <c r="AL63" i="106" s="1"/>
  <c r="AL40" i="106"/>
  <c r="AL36" i="106"/>
  <c r="AL43" i="106"/>
  <c r="AL61" i="106" s="1"/>
  <c r="AL37" i="106"/>
  <c r="AL38" i="106"/>
  <c r="AL39" i="106"/>
  <c r="AL33" i="106"/>
  <c r="AL35" i="106"/>
  <c r="AL23" i="106"/>
  <c r="AL55" i="106" s="1"/>
  <c r="AL34" i="106"/>
  <c r="AL41" i="106" s="1"/>
  <c r="AL62" i="106" s="1"/>
  <c r="AT42" i="106"/>
  <c r="AT60" i="106" s="1"/>
  <c r="AT45" i="106"/>
  <c r="AT63" i="106" s="1"/>
  <c r="AT40" i="106"/>
  <c r="AT36" i="106"/>
  <c r="AT43" i="106"/>
  <c r="AT61" i="106" s="1"/>
  <c r="AT37" i="106"/>
  <c r="AT38" i="106"/>
  <c r="AT44" i="106"/>
  <c r="AT64" i="106" s="1"/>
  <c r="AT35" i="106"/>
  <c r="AT34" i="106"/>
  <c r="AT39" i="106"/>
  <c r="AT33" i="106"/>
  <c r="AT23" i="106"/>
  <c r="BB42" i="106"/>
  <c r="BB60" i="106" s="1"/>
  <c r="BB40" i="106"/>
  <c r="BB36" i="106"/>
  <c r="BB45" i="106"/>
  <c r="BB63" i="106" s="1"/>
  <c r="BB43" i="106"/>
  <c r="BB61" i="106" s="1"/>
  <c r="BB37" i="106"/>
  <c r="BB38" i="106"/>
  <c r="BB44" i="106"/>
  <c r="BB64" i="106" s="1"/>
  <c r="BB39" i="106"/>
  <c r="BB34" i="106"/>
  <c r="BB23" i="106"/>
  <c r="BJ42" i="106"/>
  <c r="BJ60" i="106" s="1"/>
  <c r="BJ40" i="106"/>
  <c r="BJ36" i="106"/>
  <c r="BJ43" i="106"/>
  <c r="BJ61" i="106" s="1"/>
  <c r="BJ37" i="106"/>
  <c r="BJ45" i="106"/>
  <c r="BJ63" i="106" s="1"/>
  <c r="BJ38" i="106"/>
  <c r="BJ34" i="106"/>
  <c r="BJ41" i="106" s="1"/>
  <c r="BJ62" i="106" s="1"/>
  <c r="BJ44" i="106"/>
  <c r="BJ64" i="106" s="1"/>
  <c r="BJ39" i="106"/>
  <c r="BJ35" i="106"/>
  <c r="BJ23" i="106"/>
  <c r="BR42" i="106"/>
  <c r="BR60" i="106" s="1"/>
  <c r="BR40" i="106"/>
  <c r="BR36" i="106"/>
  <c r="BR43" i="106"/>
  <c r="BR61" i="106" s="1"/>
  <c r="BR37" i="106"/>
  <c r="BR38" i="106"/>
  <c r="BR34" i="106"/>
  <c r="BR45" i="106"/>
  <c r="BR63" i="106" s="1"/>
  <c r="BR39" i="106"/>
  <c r="BR35" i="106"/>
  <c r="BR33" i="106"/>
  <c r="BR44" i="106"/>
  <c r="BR64" i="106" s="1"/>
  <c r="BR23" i="106"/>
  <c r="BZ45" i="106"/>
  <c r="BZ63" i="106" s="1"/>
  <c r="BZ42" i="106"/>
  <c r="BZ60" i="106" s="1"/>
  <c r="BZ40" i="106"/>
  <c r="BZ36" i="106"/>
  <c r="BZ43" i="106"/>
  <c r="BZ61" i="106" s="1"/>
  <c r="BZ37" i="106"/>
  <c r="BZ38" i="106"/>
  <c r="BZ34" i="106"/>
  <c r="BZ44" i="106"/>
  <c r="BZ64" i="106" s="1"/>
  <c r="BZ39" i="106"/>
  <c r="BZ33" i="106"/>
  <c r="BZ23" i="106"/>
  <c r="CH42" i="106"/>
  <c r="CH60" i="106" s="1"/>
  <c r="CH40" i="106"/>
  <c r="CH36" i="106"/>
  <c r="CH45" i="106"/>
  <c r="CH63" i="106" s="1"/>
  <c r="CH43" i="106"/>
  <c r="CH61" i="106" s="1"/>
  <c r="CH37" i="106"/>
  <c r="CH38" i="106"/>
  <c r="CH34" i="106"/>
  <c r="CH44" i="106"/>
  <c r="CH64" i="106" s="1"/>
  <c r="CH39" i="106"/>
  <c r="CH23" i="106"/>
  <c r="CH35" i="106"/>
  <c r="I66" i="106"/>
  <c r="Q66" i="106"/>
  <c r="Y66" i="106"/>
  <c r="AG66" i="106"/>
  <c r="AO66" i="106"/>
  <c r="AW66" i="106"/>
  <c r="BE66" i="106"/>
  <c r="BM66" i="106"/>
  <c r="BU66" i="106"/>
  <c r="CC66" i="106"/>
  <c r="CK66" i="106"/>
  <c r="O20" i="106"/>
  <c r="W20" i="106"/>
  <c r="AF20" i="106"/>
  <c r="AO20" i="106"/>
  <c r="AX20" i="106"/>
  <c r="BP20" i="106"/>
  <c r="BY20" i="106"/>
  <c r="CI20" i="106"/>
  <c r="J21" i="106"/>
  <c r="AB21" i="106"/>
  <c r="AB54" i="106" s="1"/>
  <c r="AK21" i="106"/>
  <c r="AT21" i="106"/>
  <c r="BC21" i="106"/>
  <c r="BM21" i="106"/>
  <c r="CH21" i="106"/>
  <c r="I22" i="106"/>
  <c r="T22" i="106"/>
  <c r="AO22" i="106"/>
  <c r="BL22" i="106"/>
  <c r="CI22" i="106"/>
  <c r="T23" i="106"/>
  <c r="AQ23" i="106"/>
  <c r="CF23" i="106"/>
  <c r="AS24" i="106"/>
  <c r="BK24" i="106"/>
  <c r="X25" i="106"/>
  <c r="AP25" i="106"/>
  <c r="BM25" i="106"/>
  <c r="CJ25" i="106"/>
  <c r="U26" i="106"/>
  <c r="BO26" i="106"/>
  <c r="CG26" i="106"/>
  <c r="AT27" i="106"/>
  <c r="V29" i="106"/>
  <c r="AU30" i="106"/>
  <c r="Z31" i="106"/>
  <c r="BU33" i="106"/>
  <c r="T34" i="106"/>
  <c r="AY35" i="106"/>
  <c r="U36" i="106"/>
  <c r="BK46" i="106"/>
  <c r="BK29" i="106"/>
  <c r="BK28" i="106" s="1"/>
  <c r="AX47" i="106"/>
  <c r="AX24" i="106"/>
  <c r="AX30" i="106"/>
  <c r="CG48" i="106"/>
  <c r="CG31" i="106"/>
  <c r="CG25" i="106"/>
  <c r="BD49" i="106"/>
  <c r="BD32" i="106"/>
  <c r="BD26" i="106"/>
  <c r="AA44" i="106"/>
  <c r="AA64" i="106" s="1"/>
  <c r="AA42" i="106"/>
  <c r="AA60" i="106" s="1"/>
  <c r="AA45" i="106"/>
  <c r="AA63" i="106" s="1"/>
  <c r="AA40" i="106"/>
  <c r="AA36" i="106"/>
  <c r="AA39" i="106"/>
  <c r="AA33" i="106"/>
  <c r="AA38" i="106"/>
  <c r="AA43" i="106"/>
  <c r="AA61" i="106" s="1"/>
  <c r="AA34" i="106"/>
  <c r="AA27" i="106"/>
  <c r="AA37" i="106"/>
  <c r="BO45" i="106"/>
  <c r="BO63" i="106" s="1"/>
  <c r="BO44" i="106"/>
  <c r="BO64" i="106" s="1"/>
  <c r="BO42" i="106"/>
  <c r="BO60" i="106" s="1"/>
  <c r="BO40" i="106"/>
  <c r="BO36" i="106"/>
  <c r="BO33" i="106"/>
  <c r="BO37" i="106"/>
  <c r="BO43" i="106"/>
  <c r="BO61" i="106" s="1"/>
  <c r="BO39" i="106"/>
  <c r="BO34" i="106"/>
  <c r="BO35" i="106"/>
  <c r="BO27" i="106"/>
  <c r="AH21" i="106"/>
  <c r="K46" i="106"/>
  <c r="K29" i="106"/>
  <c r="S46" i="106"/>
  <c r="S29" i="106"/>
  <c r="AA46" i="106"/>
  <c r="AA29" i="106"/>
  <c r="AI46" i="106"/>
  <c r="AI29" i="106"/>
  <c r="AQ46" i="106"/>
  <c r="AQ29" i="106"/>
  <c r="AQ22" i="106"/>
  <c r="AY46" i="106"/>
  <c r="AY29" i="106"/>
  <c r="AY22" i="106"/>
  <c r="BG46" i="106"/>
  <c r="BG29" i="106"/>
  <c r="BG22" i="106"/>
  <c r="BO46" i="106"/>
  <c r="BO29" i="106"/>
  <c r="BO22" i="106"/>
  <c r="BW46" i="106"/>
  <c r="BW29" i="106"/>
  <c r="BW22" i="106"/>
  <c r="CE46" i="106"/>
  <c r="CE29" i="106"/>
  <c r="CE22" i="106"/>
  <c r="CE54" i="106" s="1"/>
  <c r="CM12" i="106"/>
  <c r="N47" i="106"/>
  <c r="N30" i="106"/>
  <c r="N28" i="106" s="1"/>
  <c r="V47" i="106"/>
  <c r="V30" i="106"/>
  <c r="AD47" i="106"/>
  <c r="AD30" i="106"/>
  <c r="AL30" i="106"/>
  <c r="AL47" i="106"/>
  <c r="AT47" i="106"/>
  <c r="AT30" i="106"/>
  <c r="BB47" i="106"/>
  <c r="BB30" i="106"/>
  <c r="BJ47" i="106"/>
  <c r="BJ30" i="106"/>
  <c r="BR47" i="106"/>
  <c r="BR30" i="106"/>
  <c r="BR28" i="106" s="1"/>
  <c r="BZ47" i="106"/>
  <c r="BZ30" i="106"/>
  <c r="CH47" i="106"/>
  <c r="CH30" i="106"/>
  <c r="CH28" i="106" s="1"/>
  <c r="I48" i="106"/>
  <c r="I31" i="106"/>
  <c r="Q48" i="106"/>
  <c r="Q31" i="106"/>
  <c r="Y48" i="106"/>
  <c r="Y31" i="106"/>
  <c r="AG48" i="106"/>
  <c r="AG31" i="106"/>
  <c r="AO48" i="106"/>
  <c r="AO31" i="106"/>
  <c r="AW48" i="106"/>
  <c r="AW31" i="106"/>
  <c r="BE48" i="106"/>
  <c r="BE31" i="106"/>
  <c r="BU48" i="106"/>
  <c r="BU31" i="106"/>
  <c r="CC48" i="106"/>
  <c r="CC31" i="106"/>
  <c r="CK48" i="106"/>
  <c r="CK31" i="106"/>
  <c r="L32" i="106"/>
  <c r="L49" i="106"/>
  <c r="T49" i="106"/>
  <c r="T32" i="106"/>
  <c r="AB49" i="106"/>
  <c r="AB32" i="106"/>
  <c r="AJ49" i="106"/>
  <c r="AJ32" i="106"/>
  <c r="AR32" i="106"/>
  <c r="AR49" i="106"/>
  <c r="AZ49" i="106"/>
  <c r="AZ32" i="106"/>
  <c r="BH32" i="106"/>
  <c r="BH49" i="106"/>
  <c r="BP49" i="106"/>
  <c r="BP32" i="106"/>
  <c r="BX32" i="106"/>
  <c r="BX49" i="106"/>
  <c r="CF49" i="106"/>
  <c r="CF32" i="106"/>
  <c r="G45" i="106"/>
  <c r="G63" i="106" s="1"/>
  <c r="G43" i="106"/>
  <c r="G38" i="106"/>
  <c r="G34" i="106"/>
  <c r="G44" i="106"/>
  <c r="G64" i="106" s="1"/>
  <c r="G35" i="106"/>
  <c r="G42" i="106"/>
  <c r="G40" i="106"/>
  <c r="G36" i="106"/>
  <c r="G37" i="106"/>
  <c r="G23" i="106"/>
  <c r="O45" i="106"/>
  <c r="O63" i="106" s="1"/>
  <c r="O43" i="106"/>
  <c r="O61" i="106" s="1"/>
  <c r="O38" i="106"/>
  <c r="O34" i="106"/>
  <c r="O44" i="106"/>
  <c r="O64" i="106" s="1"/>
  <c r="O40" i="106"/>
  <c r="O35" i="106"/>
  <c r="O37" i="106"/>
  <c r="O36" i="106"/>
  <c r="O42" i="106"/>
  <c r="O60" i="106" s="1"/>
  <c r="O39" i="106"/>
  <c r="O23" i="106"/>
  <c r="W45" i="106"/>
  <c r="W63" i="106" s="1"/>
  <c r="W43" i="106"/>
  <c r="W61" i="106" s="1"/>
  <c r="W38" i="106"/>
  <c r="W34" i="106"/>
  <c r="W44" i="106"/>
  <c r="W64" i="106" s="1"/>
  <c r="W35" i="106"/>
  <c r="W33" i="106"/>
  <c r="W42" i="106"/>
  <c r="W60" i="106" s="1"/>
  <c r="W39" i="106"/>
  <c r="W23" i="106"/>
  <c r="W40" i="106"/>
  <c r="W36" i="106"/>
  <c r="AE45" i="106"/>
  <c r="AE63" i="106" s="1"/>
  <c r="AE43" i="106"/>
  <c r="AE61" i="106" s="1"/>
  <c r="AE38" i="106"/>
  <c r="AE34" i="106"/>
  <c r="AE44" i="106"/>
  <c r="AE64" i="106" s="1"/>
  <c r="AE40" i="106"/>
  <c r="AE42" i="106"/>
  <c r="AE60" i="106" s="1"/>
  <c r="AE35" i="106"/>
  <c r="AE33" i="106"/>
  <c r="AE23" i="106"/>
  <c r="AE37" i="106"/>
  <c r="AE36" i="106"/>
  <c r="AM45" i="106"/>
  <c r="AM63" i="106" s="1"/>
  <c r="AM43" i="106"/>
  <c r="AM61" i="106" s="1"/>
  <c r="AM38" i="106"/>
  <c r="AM34" i="106"/>
  <c r="AM44" i="106"/>
  <c r="AM64" i="106" s="1"/>
  <c r="AM35" i="106"/>
  <c r="AM42" i="106"/>
  <c r="AM60" i="106" s="1"/>
  <c r="AM33" i="106"/>
  <c r="AM36" i="106"/>
  <c r="AM40" i="106"/>
  <c r="AM37" i="106"/>
  <c r="AM23" i="106"/>
  <c r="AU45" i="106"/>
  <c r="AU63" i="106" s="1"/>
  <c r="AU43" i="106"/>
  <c r="AU61" i="106" s="1"/>
  <c r="AU38" i="106"/>
  <c r="AU34" i="106"/>
  <c r="AU44" i="106"/>
  <c r="AU64" i="106" s="1"/>
  <c r="AU40" i="106"/>
  <c r="AU35" i="106"/>
  <c r="AU33" i="106"/>
  <c r="AU37" i="106"/>
  <c r="AU36" i="106"/>
  <c r="AU39" i="106"/>
  <c r="AU23" i="106"/>
  <c r="BC45" i="106"/>
  <c r="BC63" i="106" s="1"/>
  <c r="BC43" i="106"/>
  <c r="BC61" i="106" s="1"/>
  <c r="BC38" i="106"/>
  <c r="BC34" i="106"/>
  <c r="BC44" i="106"/>
  <c r="BC64" i="106" s="1"/>
  <c r="BC35" i="106"/>
  <c r="BC33" i="106"/>
  <c r="BC40" i="106"/>
  <c r="BC39" i="106"/>
  <c r="BC23" i="106"/>
  <c r="BC42" i="106"/>
  <c r="BC60" i="106" s="1"/>
  <c r="BC36" i="106"/>
  <c r="BK45" i="106"/>
  <c r="BK63" i="106" s="1"/>
  <c r="BK43" i="106"/>
  <c r="BK61" i="106" s="1"/>
  <c r="BK38" i="106"/>
  <c r="BK34" i="106"/>
  <c r="BK44" i="106"/>
  <c r="BK64" i="106" s="1"/>
  <c r="BK40" i="106"/>
  <c r="BK42" i="106"/>
  <c r="BK60" i="106" s="1"/>
  <c r="BK35" i="106"/>
  <c r="BK33" i="106"/>
  <c r="BK39" i="106"/>
  <c r="BK23" i="106"/>
  <c r="BK37" i="106"/>
  <c r="BK36" i="106"/>
  <c r="BS45" i="106"/>
  <c r="BS63" i="106" s="1"/>
  <c r="BS43" i="106"/>
  <c r="BS61" i="106" s="1"/>
  <c r="BS38" i="106"/>
  <c r="BS34" i="106"/>
  <c r="BS44" i="106"/>
  <c r="BS64" i="106" s="1"/>
  <c r="BS35" i="106"/>
  <c r="BS42" i="106"/>
  <c r="BS60" i="106" s="1"/>
  <c r="BS33" i="106"/>
  <c r="BS36" i="106"/>
  <c r="BS37" i="106"/>
  <c r="BS23" i="106"/>
  <c r="BS40" i="106"/>
  <c r="CA45" i="106"/>
  <c r="CA63" i="106" s="1"/>
  <c r="CA43" i="106"/>
  <c r="CA61" i="106" s="1"/>
  <c r="CA38" i="106"/>
  <c r="CA34" i="106"/>
  <c r="CA44" i="106"/>
  <c r="CA64" i="106" s="1"/>
  <c r="CA40" i="106"/>
  <c r="CA35" i="106"/>
  <c r="CA33" i="106"/>
  <c r="CA37" i="106"/>
  <c r="CA36" i="106"/>
  <c r="CA42" i="106"/>
  <c r="CA60" i="106" s="1"/>
  <c r="CA39" i="106"/>
  <c r="CA23" i="106"/>
  <c r="CI45" i="106"/>
  <c r="CI63" i="106" s="1"/>
  <c r="CI33" i="106"/>
  <c r="CI43" i="106"/>
  <c r="CI61" i="106" s="1"/>
  <c r="CI38" i="106"/>
  <c r="CI34" i="106"/>
  <c r="CI44" i="106"/>
  <c r="CI64" i="106" s="1"/>
  <c r="CI35" i="106"/>
  <c r="CI42" i="106"/>
  <c r="CI60" i="106" s="1"/>
  <c r="CI40" i="106"/>
  <c r="CI39" i="106"/>
  <c r="CI23" i="106"/>
  <c r="CI36" i="106"/>
  <c r="J66" i="106"/>
  <c r="R66" i="106"/>
  <c r="Z66" i="106"/>
  <c r="AH66" i="106"/>
  <c r="AP66" i="106"/>
  <c r="AX66" i="106"/>
  <c r="BF66" i="106"/>
  <c r="BN66" i="106"/>
  <c r="BV66" i="106"/>
  <c r="CD66" i="106"/>
  <c r="CL66" i="106"/>
  <c r="X20" i="106"/>
  <c r="AG20" i="106"/>
  <c r="AP20" i="106"/>
  <c r="AY20" i="106"/>
  <c r="BQ20" i="106"/>
  <c r="CA20" i="106"/>
  <c r="CJ20" i="106"/>
  <c r="K21" i="106"/>
  <c r="T21" i="106"/>
  <c r="AC21" i="106"/>
  <c r="AU21" i="106"/>
  <c r="BE21" i="106"/>
  <c r="BN21" i="106"/>
  <c r="BN54" i="106" s="1"/>
  <c r="CI21" i="106"/>
  <c r="K22" i="106"/>
  <c r="U22" i="106"/>
  <c r="AF22" i="106"/>
  <c r="AU22" i="106"/>
  <c r="AU54" i="106" s="1"/>
  <c r="BM22" i="106"/>
  <c r="CJ22" i="106"/>
  <c r="AR23" i="106"/>
  <c r="BO23" i="106"/>
  <c r="CL23" i="106"/>
  <c r="W24" i="106"/>
  <c r="AT24" i="106"/>
  <c r="BQ24" i="106"/>
  <c r="CI24" i="106"/>
  <c r="Y25" i="106"/>
  <c r="AV25" i="106"/>
  <c r="BN25" i="106"/>
  <c r="CK25" i="106"/>
  <c r="AA26" i="106"/>
  <c r="BP26" i="106"/>
  <c r="AU27" i="106"/>
  <c r="BR27" i="106"/>
  <c r="AB29" i="106"/>
  <c r="G30" i="106"/>
  <c r="BS30" i="106"/>
  <c r="AX31" i="106"/>
  <c r="J32" i="106"/>
  <c r="AO32" i="106"/>
  <c r="T33" i="106"/>
  <c r="BV33" i="106"/>
  <c r="BB35" i="106"/>
  <c r="AU42" i="106"/>
  <c r="AU60" i="106" s="1"/>
  <c r="AE46" i="106"/>
  <c r="AE29" i="106"/>
  <c r="BS46" i="106"/>
  <c r="BS29" i="106"/>
  <c r="R47" i="106"/>
  <c r="R24" i="106"/>
  <c r="R30" i="106"/>
  <c r="BF47" i="106"/>
  <c r="BF24" i="106"/>
  <c r="BF30" i="106"/>
  <c r="U48" i="106"/>
  <c r="U25" i="106"/>
  <c r="U31" i="106"/>
  <c r="BI48" i="106"/>
  <c r="BI25" i="106"/>
  <c r="BI31" i="106"/>
  <c r="P49" i="106"/>
  <c r="P32" i="106"/>
  <c r="P26" i="106"/>
  <c r="AV49" i="106"/>
  <c r="AV32" i="106"/>
  <c r="AV26" i="106"/>
  <c r="CJ49" i="106"/>
  <c r="CJ32" i="106"/>
  <c r="CJ26" i="106"/>
  <c r="BG44" i="106"/>
  <c r="BG64" i="106" s="1"/>
  <c r="BG42" i="106"/>
  <c r="BG60" i="106" s="1"/>
  <c r="BG40" i="106"/>
  <c r="BG36" i="106"/>
  <c r="BG39" i="106"/>
  <c r="BG33" i="106"/>
  <c r="BG38" i="106"/>
  <c r="BG45" i="106"/>
  <c r="BG63" i="106" s="1"/>
  <c r="BG27" i="106"/>
  <c r="BG43" i="106"/>
  <c r="BG61" i="106" s="1"/>
  <c r="BG34" i="106"/>
  <c r="BG37" i="106"/>
  <c r="O21" i="106"/>
  <c r="H46" i="106"/>
  <c r="H29" i="106"/>
  <c r="H21" i="106"/>
  <c r="AN46" i="106"/>
  <c r="AN29" i="106"/>
  <c r="AN21" i="106"/>
  <c r="BT46" i="106"/>
  <c r="BT29" i="106"/>
  <c r="BT21" i="106"/>
  <c r="S47" i="106"/>
  <c r="S24" i="106"/>
  <c r="S30" i="106"/>
  <c r="AY47" i="106"/>
  <c r="AY24" i="106"/>
  <c r="AY30" i="106"/>
  <c r="BW47" i="106"/>
  <c r="BW24" i="106"/>
  <c r="BW30" i="106"/>
  <c r="V48" i="106"/>
  <c r="V25" i="106"/>
  <c r="V31" i="106"/>
  <c r="BB48" i="106"/>
  <c r="BB25" i="106"/>
  <c r="BB31" i="106"/>
  <c r="CH48" i="106"/>
  <c r="CH25" i="106"/>
  <c r="AG49" i="106"/>
  <c r="AG26" i="106"/>
  <c r="BM49" i="106"/>
  <c r="BM26" i="106"/>
  <c r="L44" i="106"/>
  <c r="L64" i="106" s="1"/>
  <c r="L39" i="106"/>
  <c r="L35" i="106"/>
  <c r="L42" i="106"/>
  <c r="L60" i="106" s="1"/>
  <c r="L45" i="106"/>
  <c r="L63" i="106" s="1"/>
  <c r="L40" i="106"/>
  <c r="L36" i="106"/>
  <c r="L43" i="106"/>
  <c r="L61" i="106" s="1"/>
  <c r="L37" i="106"/>
  <c r="L38" i="106"/>
  <c r="L34" i="106"/>
  <c r="L27" i="106"/>
  <c r="AR44" i="106"/>
  <c r="AR64" i="106" s="1"/>
  <c r="AR39" i="106"/>
  <c r="AR35" i="106"/>
  <c r="AR42" i="106"/>
  <c r="AR60" i="106" s="1"/>
  <c r="AR45" i="106"/>
  <c r="AR63" i="106" s="1"/>
  <c r="AR40" i="106"/>
  <c r="AR36" i="106"/>
  <c r="AR43" i="106"/>
  <c r="AR61" i="106" s="1"/>
  <c r="AR37" i="106"/>
  <c r="AR38" i="106"/>
  <c r="AR27" i="106"/>
  <c r="AR34" i="106"/>
  <c r="BX45" i="106"/>
  <c r="BX63" i="106" s="1"/>
  <c r="BX44" i="106"/>
  <c r="BX64" i="106" s="1"/>
  <c r="BX39" i="106"/>
  <c r="BX35" i="106"/>
  <c r="BX42" i="106"/>
  <c r="BX60" i="106" s="1"/>
  <c r="BX40" i="106"/>
  <c r="BX36" i="106"/>
  <c r="BX43" i="106"/>
  <c r="BX61" i="106" s="1"/>
  <c r="BX37" i="106"/>
  <c r="BX38" i="106"/>
  <c r="BX27" i="106"/>
  <c r="BX34" i="106"/>
  <c r="AV20" i="106"/>
  <c r="AJ50" i="106"/>
  <c r="AJ52" i="106" s="1"/>
  <c r="AR46" i="106"/>
  <c r="AR22" i="106"/>
  <c r="BH46" i="106"/>
  <c r="BH22" i="106"/>
  <c r="BP46" i="106"/>
  <c r="BP21" i="106"/>
  <c r="BP22" i="106"/>
  <c r="BX46" i="106"/>
  <c r="BX21" i="106"/>
  <c r="BX22" i="106"/>
  <c r="CF46" i="106"/>
  <c r="CF21" i="106"/>
  <c r="CF22" i="106"/>
  <c r="CD48" i="106"/>
  <c r="CD31" i="106"/>
  <c r="BQ49" i="106"/>
  <c r="BQ32" i="106"/>
  <c r="P43" i="106"/>
  <c r="P61" i="106" s="1"/>
  <c r="P37" i="106"/>
  <c r="P38" i="106"/>
  <c r="P34" i="106"/>
  <c r="P44" i="106"/>
  <c r="P64" i="106" s="1"/>
  <c r="P39" i="106"/>
  <c r="P35" i="106"/>
  <c r="P36" i="106"/>
  <c r="P40" i="106"/>
  <c r="P42" i="106"/>
  <c r="P60" i="106" s="1"/>
  <c r="P45" i="106"/>
  <c r="P63" i="106" s="1"/>
  <c r="P23" i="106"/>
  <c r="X43" i="106"/>
  <c r="X61" i="106" s="1"/>
  <c r="X37" i="106"/>
  <c r="X38" i="106"/>
  <c r="X34" i="106"/>
  <c r="X44" i="106"/>
  <c r="X64" i="106" s="1"/>
  <c r="X39" i="106"/>
  <c r="X35" i="106"/>
  <c r="X42" i="106"/>
  <c r="X60" i="106" s="1"/>
  <c r="X36" i="106"/>
  <c r="X45" i="106"/>
  <c r="X63" i="106" s="1"/>
  <c r="X23" i="106"/>
  <c r="X40" i="106"/>
  <c r="X33" i="106"/>
  <c r="AF43" i="106"/>
  <c r="AF61" i="106" s="1"/>
  <c r="AF37" i="106"/>
  <c r="AF38" i="106"/>
  <c r="AF34" i="106"/>
  <c r="AF44" i="106"/>
  <c r="AF64" i="106" s="1"/>
  <c r="AF39" i="106"/>
  <c r="AF35" i="106"/>
  <c r="AF36" i="106"/>
  <c r="AF40" i="106"/>
  <c r="AF42" i="106"/>
  <c r="AF60" i="106" s="1"/>
  <c r="AF45" i="106"/>
  <c r="AF63" i="106" s="1"/>
  <c r="AF23" i="106"/>
  <c r="AN43" i="106"/>
  <c r="AN61" i="106" s="1"/>
  <c r="AN37" i="106"/>
  <c r="AN38" i="106"/>
  <c r="AN34" i="106"/>
  <c r="AN44" i="106"/>
  <c r="AN64" i="106" s="1"/>
  <c r="AN39" i="106"/>
  <c r="AN35" i="106"/>
  <c r="AN42" i="106"/>
  <c r="AN60" i="106" s="1"/>
  <c r="AN45" i="106"/>
  <c r="AN63" i="106" s="1"/>
  <c r="AN36" i="106"/>
  <c r="AN40" i="106"/>
  <c r="AN33" i="106"/>
  <c r="AN23" i="106"/>
  <c r="AV43" i="106"/>
  <c r="AV61" i="106" s="1"/>
  <c r="AV37" i="106"/>
  <c r="AV38" i="106"/>
  <c r="AV34" i="106"/>
  <c r="AV44" i="106"/>
  <c r="AV64" i="106" s="1"/>
  <c r="AV39" i="106"/>
  <c r="AV35" i="106"/>
  <c r="AV36" i="106"/>
  <c r="AV40" i="106"/>
  <c r="AV23" i="106"/>
  <c r="AV33" i="106"/>
  <c r="AV42" i="106"/>
  <c r="AV60" i="106" s="1"/>
  <c r="BD45" i="106"/>
  <c r="BD63" i="106" s="1"/>
  <c r="BD43" i="106"/>
  <c r="BD61" i="106" s="1"/>
  <c r="BD37" i="106"/>
  <c r="BD38" i="106"/>
  <c r="BD34" i="106"/>
  <c r="BD44" i="106"/>
  <c r="BD64" i="106" s="1"/>
  <c r="BD39" i="106"/>
  <c r="BD35" i="106"/>
  <c r="BD42" i="106"/>
  <c r="BD60" i="106" s="1"/>
  <c r="BD36" i="106"/>
  <c r="BD23" i="106"/>
  <c r="BD33" i="106"/>
  <c r="BL43" i="106"/>
  <c r="BL61" i="106" s="1"/>
  <c r="BL37" i="106"/>
  <c r="BL45" i="106"/>
  <c r="BL63" i="106" s="1"/>
  <c r="BL38" i="106"/>
  <c r="BL34" i="106"/>
  <c r="BL44" i="106"/>
  <c r="BL64" i="106" s="1"/>
  <c r="BL39" i="106"/>
  <c r="BL35" i="106"/>
  <c r="BL36" i="106"/>
  <c r="BL40" i="106"/>
  <c r="BL42" i="106"/>
  <c r="BL60" i="106" s="1"/>
  <c r="BL23" i="106"/>
  <c r="BT43" i="106"/>
  <c r="BT61" i="106" s="1"/>
  <c r="BT37" i="106"/>
  <c r="BT38" i="106"/>
  <c r="BT34" i="106"/>
  <c r="BT44" i="106"/>
  <c r="BT64" i="106" s="1"/>
  <c r="BT45" i="106"/>
  <c r="BT63" i="106" s="1"/>
  <c r="BT39" i="106"/>
  <c r="BT35" i="106"/>
  <c r="BT42" i="106"/>
  <c r="BT60" i="106" s="1"/>
  <c r="BT36" i="106"/>
  <c r="BT33" i="106"/>
  <c r="BT23" i="106"/>
  <c r="BT40" i="106"/>
  <c r="CB43" i="106"/>
  <c r="CB61" i="106" s="1"/>
  <c r="CB37" i="106"/>
  <c r="CB38" i="106"/>
  <c r="CB34" i="106"/>
  <c r="CB44" i="106"/>
  <c r="CB64" i="106" s="1"/>
  <c r="CB39" i="106"/>
  <c r="CB35" i="106"/>
  <c r="CB36" i="106"/>
  <c r="CB45" i="106"/>
  <c r="CB63" i="106" s="1"/>
  <c r="CB40" i="106"/>
  <c r="CB42" i="106"/>
  <c r="CB60" i="106" s="1"/>
  <c r="CB23" i="106"/>
  <c r="CB33" i="106"/>
  <c r="CJ43" i="106"/>
  <c r="CJ61" i="106" s="1"/>
  <c r="CJ37" i="106"/>
  <c r="CJ45" i="106"/>
  <c r="CJ63" i="106" s="1"/>
  <c r="CJ38" i="106"/>
  <c r="CJ34" i="106"/>
  <c r="CJ44" i="106"/>
  <c r="CJ64" i="106" s="1"/>
  <c r="CJ39" i="106"/>
  <c r="CJ35" i="106"/>
  <c r="CJ42" i="106"/>
  <c r="CJ60" i="106" s="1"/>
  <c r="CJ36" i="106"/>
  <c r="CJ40" i="106"/>
  <c r="CJ23" i="106"/>
  <c r="S66" i="106"/>
  <c r="AA66" i="106"/>
  <c r="AI66" i="106"/>
  <c r="AQ66" i="106"/>
  <c r="AY66" i="106"/>
  <c r="BG66" i="106"/>
  <c r="BO66" i="106"/>
  <c r="BW66" i="106"/>
  <c r="CE66" i="106"/>
  <c r="I20" i="106"/>
  <c r="Q20" i="106"/>
  <c r="Q54" i="106" s="1"/>
  <c r="Y20" i="106"/>
  <c r="AH20" i="106"/>
  <c r="AQ20" i="106"/>
  <c r="AZ20" i="106"/>
  <c r="BS20" i="106"/>
  <c r="CK20" i="106"/>
  <c r="L21" i="106"/>
  <c r="L54" i="106" s="1"/>
  <c r="U21" i="106"/>
  <c r="AD21" i="106"/>
  <c r="AW21" i="106"/>
  <c r="BF21" i="106"/>
  <c r="BO21" i="106"/>
  <c r="CK21" i="106"/>
  <c r="L22" i="106"/>
  <c r="AG22" i="106"/>
  <c r="BS22" i="106"/>
  <c r="CK22" i="106"/>
  <c r="AA23" i="106"/>
  <c r="AC24" i="106"/>
  <c r="AU24" i="106"/>
  <c r="BR24" i="106"/>
  <c r="H25" i="106"/>
  <c r="Z25" i="106"/>
  <c r="AW25" i="106"/>
  <c r="BT25" i="106"/>
  <c r="AB26" i="106"/>
  <c r="AY26" i="106"/>
  <c r="BQ26" i="106"/>
  <c r="G27" i="106"/>
  <c r="AD27" i="106"/>
  <c r="AV27" i="106"/>
  <c r="BS27" i="106"/>
  <c r="AC29" i="106"/>
  <c r="AE30" i="106"/>
  <c r="J31" i="106"/>
  <c r="BV31" i="106"/>
  <c r="K32" i="106"/>
  <c r="AP32" i="106"/>
  <c r="BU32" i="106"/>
  <c r="U33" i="106"/>
  <c r="AZ33" i="106"/>
  <c r="BX33" i="106"/>
  <c r="BG35" i="106"/>
  <c r="BA36" i="106"/>
  <c r="CI37" i="106"/>
  <c r="G39" i="106"/>
  <c r="AM46" i="106"/>
  <c r="AM29" i="106"/>
  <c r="M48" i="106"/>
  <c r="M25" i="106"/>
  <c r="M31" i="106"/>
  <c r="BS21" i="106"/>
  <c r="P46" i="106"/>
  <c r="P29" i="106"/>
  <c r="P21" i="106"/>
  <c r="P54" i="106" s="1"/>
  <c r="AV46" i="106"/>
  <c r="AV29" i="106"/>
  <c r="AV21" i="106"/>
  <c r="CB46" i="106"/>
  <c r="CB29" i="106"/>
  <c r="CB21" i="106"/>
  <c r="AQ47" i="106"/>
  <c r="AQ24" i="106"/>
  <c r="AQ30" i="106"/>
  <c r="CM13" i="106"/>
  <c r="AD48" i="106"/>
  <c r="AD25" i="106"/>
  <c r="AD31" i="106"/>
  <c r="BJ48" i="106"/>
  <c r="BJ25" i="106"/>
  <c r="BJ31" i="106"/>
  <c r="I49" i="106"/>
  <c r="I26" i="106"/>
  <c r="BE49" i="106"/>
  <c r="BE26" i="106"/>
  <c r="BE32" i="106"/>
  <c r="CK49" i="106"/>
  <c r="CK26" i="106"/>
  <c r="CK32" i="106"/>
  <c r="AB44" i="106"/>
  <c r="AB64" i="106" s="1"/>
  <c r="AB39" i="106"/>
  <c r="AB35" i="106"/>
  <c r="AB42" i="106"/>
  <c r="AB60" i="106" s="1"/>
  <c r="AB45" i="106"/>
  <c r="AB63" i="106" s="1"/>
  <c r="AB40" i="106"/>
  <c r="AB36" i="106"/>
  <c r="AB43" i="106"/>
  <c r="AB61" i="106" s="1"/>
  <c r="AB37" i="106"/>
  <c r="AB38" i="106"/>
  <c r="AB34" i="106"/>
  <c r="AB33" i="106"/>
  <c r="AB27" i="106"/>
  <c r="BP45" i="106"/>
  <c r="BP63" i="106" s="1"/>
  <c r="BP44" i="106"/>
  <c r="BP64" i="106" s="1"/>
  <c r="BP39" i="106"/>
  <c r="BP35" i="106"/>
  <c r="BP42" i="106"/>
  <c r="BP60" i="106" s="1"/>
  <c r="BP40" i="106"/>
  <c r="BP36" i="106"/>
  <c r="BP43" i="106"/>
  <c r="BP61" i="106" s="1"/>
  <c r="BP37" i="106"/>
  <c r="BP27" i="106"/>
  <c r="BP33" i="106"/>
  <c r="BP38" i="106"/>
  <c r="G21" i="106"/>
  <c r="AZ46" i="106"/>
  <c r="AZ22" i="106"/>
  <c r="CL48" i="106"/>
  <c r="CL31" i="106"/>
  <c r="M49" i="106"/>
  <c r="M32" i="106"/>
  <c r="AC49" i="106"/>
  <c r="AC32" i="106"/>
  <c r="AK49" i="106"/>
  <c r="AK32" i="106"/>
  <c r="AS49" i="106"/>
  <c r="AS32" i="106"/>
  <c r="BI49" i="106"/>
  <c r="BI32" i="106"/>
  <c r="BY49" i="106"/>
  <c r="BY32" i="106"/>
  <c r="H43" i="106"/>
  <c r="H61" i="106" s="1"/>
  <c r="H37" i="106"/>
  <c r="H38" i="106"/>
  <c r="H34" i="106"/>
  <c r="H44" i="106"/>
  <c r="H64" i="106" s="1"/>
  <c r="H39" i="106"/>
  <c r="H35" i="106"/>
  <c r="H42" i="106"/>
  <c r="H60" i="106" s="1"/>
  <c r="H45" i="106"/>
  <c r="H63" i="106" s="1"/>
  <c r="H36" i="106"/>
  <c r="H40" i="106"/>
  <c r="H23" i="106"/>
  <c r="K66" i="106"/>
  <c r="AS46" i="106"/>
  <c r="AS22" i="106"/>
  <c r="BA46" i="106"/>
  <c r="BA22" i="106"/>
  <c r="BI46" i="106"/>
  <c r="BI22" i="106"/>
  <c r="BI54" i="106" s="1"/>
  <c r="BQ46" i="106"/>
  <c r="BQ22" i="106"/>
  <c r="BY46" i="106"/>
  <c r="BY22" i="106"/>
  <c r="CG46" i="106"/>
  <c r="CG22" i="106"/>
  <c r="H47" i="106"/>
  <c r="H24" i="106"/>
  <c r="P47" i="106"/>
  <c r="P24" i="106"/>
  <c r="X47" i="106"/>
  <c r="X24" i="106"/>
  <c r="AF47" i="106"/>
  <c r="AF24" i="106"/>
  <c r="AN47" i="106"/>
  <c r="AN24" i="106"/>
  <c r="AV47" i="106"/>
  <c r="AV24" i="106"/>
  <c r="BD47" i="106"/>
  <c r="BD24" i="106"/>
  <c r="BL47" i="106"/>
  <c r="BL24" i="106"/>
  <c r="BT47" i="106"/>
  <c r="BT24" i="106"/>
  <c r="CB47" i="106"/>
  <c r="CB24" i="106"/>
  <c r="CJ47" i="106"/>
  <c r="CJ24" i="106"/>
  <c r="K48" i="106"/>
  <c r="K25" i="106"/>
  <c r="S48" i="106"/>
  <c r="S25" i="106"/>
  <c r="AA48" i="106"/>
  <c r="AA25" i="106"/>
  <c r="AI48" i="106"/>
  <c r="AI25" i="106"/>
  <c r="AQ48" i="106"/>
  <c r="AQ25" i="106"/>
  <c r="AY48" i="106"/>
  <c r="AY25" i="106"/>
  <c r="BG48" i="106"/>
  <c r="BG25" i="106"/>
  <c r="BO48" i="106"/>
  <c r="BO25" i="106"/>
  <c r="BW48" i="106"/>
  <c r="BW25" i="106"/>
  <c r="CE48" i="106"/>
  <c r="CE25" i="106"/>
  <c r="N49" i="106"/>
  <c r="N32" i="106"/>
  <c r="N26" i="106"/>
  <c r="V49" i="106"/>
  <c r="V26" i="106"/>
  <c r="AD49" i="106"/>
  <c r="AD26" i="106"/>
  <c r="AL49" i="106"/>
  <c r="AL32" i="106"/>
  <c r="AL26" i="106"/>
  <c r="AT49" i="106"/>
  <c r="AT32" i="106"/>
  <c r="AT26" i="106"/>
  <c r="BB49" i="106"/>
  <c r="BB26" i="106"/>
  <c r="BJ49" i="106"/>
  <c r="BJ26" i="106"/>
  <c r="BR49" i="106"/>
  <c r="BR32" i="106"/>
  <c r="BR26" i="106"/>
  <c r="BZ49" i="106"/>
  <c r="BZ32" i="106"/>
  <c r="BZ26" i="106"/>
  <c r="CH49" i="106"/>
  <c r="CH26" i="106"/>
  <c r="I43" i="106"/>
  <c r="I61" i="106" s="1"/>
  <c r="I44" i="106"/>
  <c r="I64" i="106" s="1"/>
  <c r="I39" i="106"/>
  <c r="I35" i="106"/>
  <c r="I42" i="106"/>
  <c r="I60" i="106" s="1"/>
  <c r="I45" i="106"/>
  <c r="I63" i="106" s="1"/>
  <c r="I37" i="106"/>
  <c r="I40" i="106"/>
  <c r="I38" i="106"/>
  <c r="I36" i="106"/>
  <c r="I23" i="106"/>
  <c r="I34" i="106"/>
  <c r="I27" i="106"/>
  <c r="Q43" i="106"/>
  <c r="Q61" i="106" s="1"/>
  <c r="Q44" i="106"/>
  <c r="Q64" i="106" s="1"/>
  <c r="Q39" i="106"/>
  <c r="Q35" i="106"/>
  <c r="Q42" i="106"/>
  <c r="Q60" i="106" s="1"/>
  <c r="Q40" i="106"/>
  <c r="Q38" i="106"/>
  <c r="Q37" i="106"/>
  <c r="Q34" i="106"/>
  <c r="Q45" i="106"/>
  <c r="Q63" i="106" s="1"/>
  <c r="Q23" i="106"/>
  <c r="Q27" i="106"/>
  <c r="Y43" i="106"/>
  <c r="Y61" i="106" s="1"/>
  <c r="Y44" i="106"/>
  <c r="Y64" i="106" s="1"/>
  <c r="Y39" i="106"/>
  <c r="Y35" i="106"/>
  <c r="Y42" i="106"/>
  <c r="Y60" i="106" s="1"/>
  <c r="Y37" i="106"/>
  <c r="Y36" i="106"/>
  <c r="Y45" i="106"/>
  <c r="Y63" i="106" s="1"/>
  <c r="Y40" i="106"/>
  <c r="Y38" i="106"/>
  <c r="Y23" i="106"/>
  <c r="Y34" i="106"/>
  <c r="Y41" i="106" s="1"/>
  <c r="Y62" i="106" s="1"/>
  <c r="Y33" i="106"/>
  <c r="Y27" i="106"/>
  <c r="AG43" i="106"/>
  <c r="AG61" i="106" s="1"/>
  <c r="AG44" i="106"/>
  <c r="AG64" i="106" s="1"/>
  <c r="AG39" i="106"/>
  <c r="AG35" i="106"/>
  <c r="AG42" i="106"/>
  <c r="AG60" i="106" s="1"/>
  <c r="AG40" i="106"/>
  <c r="AG38" i="106"/>
  <c r="AG45" i="106"/>
  <c r="AG63" i="106" s="1"/>
  <c r="AG37" i="106"/>
  <c r="AG23" i="106"/>
  <c r="AG36" i="106"/>
  <c r="AG27" i="106"/>
  <c r="AO43" i="106"/>
  <c r="AO61" i="106" s="1"/>
  <c r="AO44" i="106"/>
  <c r="AO64" i="106" s="1"/>
  <c r="AO39" i="106"/>
  <c r="AO35" i="106"/>
  <c r="AO42" i="106"/>
  <c r="AO60" i="106" s="1"/>
  <c r="AO45" i="106"/>
  <c r="AO63" i="106" s="1"/>
  <c r="AO37" i="106"/>
  <c r="AO36" i="106"/>
  <c r="AO40" i="106"/>
  <c r="AO38" i="106"/>
  <c r="AO23" i="106"/>
  <c r="AO34" i="106"/>
  <c r="AO27" i="106"/>
  <c r="AW43" i="106"/>
  <c r="AW61" i="106" s="1"/>
  <c r="AW44" i="106"/>
  <c r="AW64" i="106" s="1"/>
  <c r="AW39" i="106"/>
  <c r="AW35" i="106"/>
  <c r="AW42" i="106"/>
  <c r="AW60" i="106" s="1"/>
  <c r="AW40" i="106"/>
  <c r="AW38" i="106"/>
  <c r="AW34" i="106"/>
  <c r="AW37" i="106"/>
  <c r="AW23" i="106"/>
  <c r="AW33" i="106"/>
  <c r="AW45" i="106"/>
  <c r="AW63" i="106" s="1"/>
  <c r="AW27" i="106"/>
  <c r="BE45" i="106"/>
  <c r="BE63" i="106" s="1"/>
  <c r="BE43" i="106"/>
  <c r="BE61" i="106" s="1"/>
  <c r="BE44" i="106"/>
  <c r="BE64" i="106" s="1"/>
  <c r="BE39" i="106"/>
  <c r="BE35" i="106"/>
  <c r="BE42" i="106"/>
  <c r="BE60" i="106" s="1"/>
  <c r="BE37" i="106"/>
  <c r="BE36" i="106"/>
  <c r="BE40" i="106"/>
  <c r="BE38" i="106"/>
  <c r="BE23" i="106"/>
  <c r="BE33" i="106"/>
  <c r="BE34" i="106"/>
  <c r="BE27" i="106"/>
  <c r="BM43" i="106"/>
  <c r="BM61" i="106" s="1"/>
  <c r="BM45" i="106"/>
  <c r="BM63" i="106" s="1"/>
  <c r="BM44" i="106"/>
  <c r="BM64" i="106" s="1"/>
  <c r="BM39" i="106"/>
  <c r="BM35" i="106"/>
  <c r="BM42" i="106"/>
  <c r="BM60" i="106" s="1"/>
  <c r="BM40" i="106"/>
  <c r="BM38" i="106"/>
  <c r="BM37" i="106"/>
  <c r="BM23" i="106"/>
  <c r="BM55" i="106" s="1"/>
  <c r="BM34" i="106"/>
  <c r="BM36" i="106"/>
  <c r="BM27" i="106"/>
  <c r="BU43" i="106"/>
  <c r="BU61" i="106" s="1"/>
  <c r="BU44" i="106"/>
  <c r="BU64" i="106" s="1"/>
  <c r="BU45" i="106"/>
  <c r="BU63" i="106" s="1"/>
  <c r="BU39" i="106"/>
  <c r="BU35" i="106"/>
  <c r="BU42" i="106"/>
  <c r="BU60" i="106" s="1"/>
  <c r="BU37" i="106"/>
  <c r="BU36" i="106"/>
  <c r="BU40" i="106"/>
  <c r="BU38" i="106"/>
  <c r="BU23" i="106"/>
  <c r="BU27" i="106"/>
  <c r="CC43" i="106"/>
  <c r="CC61" i="106" s="1"/>
  <c r="CC44" i="106"/>
  <c r="CC64" i="106" s="1"/>
  <c r="CC39" i="106"/>
  <c r="CC35" i="106"/>
  <c r="CC42" i="106"/>
  <c r="CC60" i="106" s="1"/>
  <c r="CC45" i="106"/>
  <c r="CC63" i="106" s="1"/>
  <c r="CC40" i="106"/>
  <c r="CC38" i="106"/>
  <c r="CC37" i="106"/>
  <c r="CC23" i="106"/>
  <c r="CC33" i="106"/>
  <c r="CC34" i="106"/>
  <c r="CC27" i="106"/>
  <c r="CK43" i="106"/>
  <c r="CK61" i="106" s="1"/>
  <c r="CK45" i="106"/>
  <c r="CK63" i="106" s="1"/>
  <c r="CK44" i="106"/>
  <c r="CK64" i="106" s="1"/>
  <c r="CK39" i="106"/>
  <c r="CK35" i="106"/>
  <c r="CK42" i="106"/>
  <c r="CK60" i="106" s="1"/>
  <c r="CK37" i="106"/>
  <c r="CK36" i="106"/>
  <c r="CK40" i="106"/>
  <c r="CK38" i="106"/>
  <c r="CK33" i="106"/>
  <c r="CK34" i="106"/>
  <c r="CK23" i="106"/>
  <c r="CK27" i="106"/>
  <c r="L66" i="106"/>
  <c r="T66" i="106"/>
  <c r="AB66" i="106"/>
  <c r="AJ66" i="106"/>
  <c r="AR66" i="106"/>
  <c r="AZ66" i="106"/>
  <c r="BH66" i="106"/>
  <c r="BP66" i="106"/>
  <c r="BX66" i="106"/>
  <c r="CF66" i="106"/>
  <c r="J20" i="106"/>
  <c r="R20" i="106"/>
  <c r="Z20" i="106"/>
  <c r="AI20" i="106"/>
  <c r="AR20" i="106"/>
  <c r="BA20" i="106"/>
  <c r="BK20" i="106"/>
  <c r="BK54" i="106" s="1"/>
  <c r="BT20" i="106"/>
  <c r="CC20" i="106"/>
  <c r="CL20" i="106"/>
  <c r="M21" i="106"/>
  <c r="AE21" i="106"/>
  <c r="AE54" i="106" s="1"/>
  <c r="AO21" i="106"/>
  <c r="AX21" i="106"/>
  <c r="BG21" i="106"/>
  <c r="BG54" i="106" s="1"/>
  <c r="BQ21" i="106"/>
  <c r="CL21" i="106"/>
  <c r="M22" i="106"/>
  <c r="X22" i="106"/>
  <c r="AI22" i="106"/>
  <c r="AW22" i="106"/>
  <c r="BT22" i="106"/>
  <c r="AB23" i="106"/>
  <c r="AY23" i="106"/>
  <c r="G24" i="106"/>
  <c r="AD24" i="106"/>
  <c r="BA24" i="106"/>
  <c r="BS24" i="106"/>
  <c r="I25" i="106"/>
  <c r="AF25" i="106"/>
  <c r="AX25" i="106"/>
  <c r="BU25" i="106"/>
  <c r="K26" i="106"/>
  <c r="AC26" i="106"/>
  <c r="AZ26" i="106"/>
  <c r="BW26" i="106"/>
  <c r="H27" i="106"/>
  <c r="AE27" i="106"/>
  <c r="BB27" i="106"/>
  <c r="BT27" i="106"/>
  <c r="L29" i="106"/>
  <c r="BA29" i="106"/>
  <c r="BA28" i="106" s="1"/>
  <c r="BX29" i="106"/>
  <c r="AF30" i="106"/>
  <c r="BC30" i="106"/>
  <c r="K31" i="106"/>
  <c r="AH31" i="106"/>
  <c r="BW31" i="106"/>
  <c r="S32" i="106"/>
  <c r="AQ32" i="106"/>
  <c r="BV32" i="106"/>
  <c r="V33" i="106"/>
  <c r="BA33" i="106"/>
  <c r="CF33" i="106"/>
  <c r="AK34" i="106"/>
  <c r="BY35" i="106"/>
  <c r="CC36" i="106"/>
  <c r="AE39" i="106"/>
  <c r="AL44" i="106"/>
  <c r="AL64" i="106" s="1"/>
  <c r="W46" i="106"/>
  <c r="W29" i="106"/>
  <c r="CA46" i="106"/>
  <c r="CA29" i="106"/>
  <c r="Z47" i="106"/>
  <c r="Z24" i="106"/>
  <c r="Z30" i="106"/>
  <c r="BN47" i="106"/>
  <c r="BN24" i="106"/>
  <c r="BN30" i="106"/>
  <c r="AC48" i="106"/>
  <c r="AC25" i="106"/>
  <c r="AC31" i="106"/>
  <c r="BQ48" i="106"/>
  <c r="BQ25" i="106"/>
  <c r="BQ31" i="106"/>
  <c r="H49" i="106"/>
  <c r="H32" i="106"/>
  <c r="H26" i="106"/>
  <c r="AN49" i="106"/>
  <c r="AN32" i="106"/>
  <c r="AN26" i="106"/>
  <c r="CB49" i="106"/>
  <c r="CB32" i="106"/>
  <c r="CB26" i="106"/>
  <c r="AI44" i="106"/>
  <c r="AI64" i="106" s="1"/>
  <c r="AI42" i="106"/>
  <c r="AI60" i="106" s="1"/>
  <c r="AI45" i="106"/>
  <c r="AI63" i="106" s="1"/>
  <c r="AI40" i="106"/>
  <c r="AI36" i="106"/>
  <c r="AI33" i="106"/>
  <c r="AI37" i="106"/>
  <c r="AI43" i="106"/>
  <c r="AI61" i="106" s="1"/>
  <c r="AI39" i="106"/>
  <c r="AI27" i="106"/>
  <c r="AI35" i="106"/>
  <c r="BW44" i="106"/>
  <c r="BW64" i="106" s="1"/>
  <c r="BW45" i="106"/>
  <c r="BW63" i="106" s="1"/>
  <c r="BW42" i="106"/>
  <c r="BW60" i="106" s="1"/>
  <c r="BW40" i="106"/>
  <c r="BW36" i="106"/>
  <c r="BW39" i="106"/>
  <c r="BW33" i="106"/>
  <c r="BW43" i="106"/>
  <c r="BW61" i="106" s="1"/>
  <c r="BW38" i="106"/>
  <c r="BW37" i="106"/>
  <c r="BW35" i="106"/>
  <c r="BW27" i="106"/>
  <c r="N46" i="106"/>
  <c r="N22" i="106"/>
  <c r="V46" i="106"/>
  <c r="V22" i="106"/>
  <c r="V54" i="106" s="1"/>
  <c r="AD46" i="106"/>
  <c r="AD22" i="106"/>
  <c r="AD20" i="106"/>
  <c r="AL46" i="106"/>
  <c r="AL22" i="106"/>
  <c r="AL54" i="106" s="1"/>
  <c r="AL20" i="106"/>
  <c r="AT46" i="106"/>
  <c r="AT22" i="106"/>
  <c r="AT20" i="106"/>
  <c r="BB46" i="106"/>
  <c r="BB22" i="106"/>
  <c r="BB20" i="106"/>
  <c r="BJ46" i="106"/>
  <c r="BJ22" i="106"/>
  <c r="BJ20" i="106"/>
  <c r="BJ54" i="106" s="1"/>
  <c r="BR22" i="106"/>
  <c r="BR20" i="106"/>
  <c r="BZ46" i="106"/>
  <c r="BZ22" i="106"/>
  <c r="BZ20" i="106"/>
  <c r="CH46" i="106"/>
  <c r="CH22" i="106"/>
  <c r="CH20" i="106"/>
  <c r="I47" i="106"/>
  <c r="I24" i="106"/>
  <c r="Q47" i="106"/>
  <c r="Q24" i="106"/>
  <c r="Y47" i="106"/>
  <c r="Y24" i="106"/>
  <c r="AG47" i="106"/>
  <c r="AG24" i="106"/>
  <c r="AO47" i="106"/>
  <c r="AO24" i="106"/>
  <c r="AW47" i="106"/>
  <c r="AW24" i="106"/>
  <c r="BE47" i="106"/>
  <c r="BE24" i="106"/>
  <c r="BM47" i="106"/>
  <c r="BM24" i="106"/>
  <c r="BU47" i="106"/>
  <c r="BU24" i="106"/>
  <c r="CC47" i="106"/>
  <c r="CC24" i="106"/>
  <c r="CK47" i="106"/>
  <c r="CK24" i="106"/>
  <c r="L48" i="106"/>
  <c r="L25" i="106"/>
  <c r="L55" i="106" s="1"/>
  <c r="T48" i="106"/>
  <c r="T25" i="106"/>
  <c r="AB48" i="106"/>
  <c r="AB25" i="106"/>
  <c r="AJ48" i="106"/>
  <c r="AJ51" i="106" s="1"/>
  <c r="AJ53" i="106" s="1"/>
  <c r="AJ25" i="106"/>
  <c r="AR48" i="106"/>
  <c r="AR25" i="106"/>
  <c r="AZ48" i="106"/>
  <c r="AZ25" i="106"/>
  <c r="BH48" i="106"/>
  <c r="BH25" i="106"/>
  <c r="BP48" i="106"/>
  <c r="BP25" i="106"/>
  <c r="BX48" i="106"/>
  <c r="BX25" i="106"/>
  <c r="CF48" i="106"/>
  <c r="CF25" i="106"/>
  <c r="G49" i="106"/>
  <c r="G32" i="106"/>
  <c r="G26" i="106"/>
  <c r="O49" i="106"/>
  <c r="O32" i="106"/>
  <c r="O26" i="106"/>
  <c r="W49" i="106"/>
  <c r="W26" i="106"/>
  <c r="W32" i="106"/>
  <c r="AE49" i="106"/>
  <c r="AE26" i="106"/>
  <c r="AM49" i="106"/>
  <c r="AM32" i="106"/>
  <c r="AM26" i="106"/>
  <c r="AU49" i="106"/>
  <c r="AU32" i="106"/>
  <c r="AU26" i="106"/>
  <c r="BC49" i="106"/>
  <c r="BC26" i="106"/>
  <c r="BC32" i="106"/>
  <c r="BK49" i="106"/>
  <c r="BK26" i="106"/>
  <c r="BS49" i="106"/>
  <c r="BS32" i="106"/>
  <c r="BS26" i="106"/>
  <c r="CA49" i="106"/>
  <c r="CA32" i="106"/>
  <c r="CA26" i="106"/>
  <c r="CI49" i="106"/>
  <c r="CI26" i="106"/>
  <c r="CI32" i="106"/>
  <c r="J38" i="106"/>
  <c r="J34" i="106"/>
  <c r="J44" i="106"/>
  <c r="J64" i="106" s="1"/>
  <c r="J39" i="106"/>
  <c r="J35" i="106"/>
  <c r="J42" i="106"/>
  <c r="J60" i="106" s="1"/>
  <c r="J45" i="106"/>
  <c r="J63" i="106" s="1"/>
  <c r="J40" i="106"/>
  <c r="J36" i="106"/>
  <c r="J43" i="106"/>
  <c r="J61" i="106" s="1"/>
  <c r="J37" i="106"/>
  <c r="J27" i="106"/>
  <c r="R38" i="106"/>
  <c r="R34" i="106"/>
  <c r="R44" i="106"/>
  <c r="R64" i="106" s="1"/>
  <c r="R39" i="106"/>
  <c r="R35" i="106"/>
  <c r="R42" i="106"/>
  <c r="R60" i="106" s="1"/>
  <c r="R45" i="106"/>
  <c r="R63" i="106" s="1"/>
  <c r="R40" i="106"/>
  <c r="R36" i="106"/>
  <c r="R43" i="106"/>
  <c r="R61" i="106" s="1"/>
  <c r="R37" i="106"/>
  <c r="R27" i="106"/>
  <c r="Z38" i="106"/>
  <c r="Z34" i="106"/>
  <c r="Z44" i="106"/>
  <c r="Z64" i="106" s="1"/>
  <c r="Z39" i="106"/>
  <c r="Z35" i="106"/>
  <c r="Z42" i="106"/>
  <c r="Z60" i="106" s="1"/>
  <c r="Z45" i="106"/>
  <c r="Z63" i="106" s="1"/>
  <c r="Z40" i="106"/>
  <c r="Z36" i="106"/>
  <c r="Z43" i="106"/>
  <c r="Z61" i="106" s="1"/>
  <c r="Z33" i="106"/>
  <c r="Z27" i="106"/>
  <c r="AH38" i="106"/>
  <c r="AH34" i="106"/>
  <c r="AH44" i="106"/>
  <c r="AH64" i="106" s="1"/>
  <c r="AH39" i="106"/>
  <c r="AH35" i="106"/>
  <c r="AH42" i="106"/>
  <c r="AH60" i="106" s="1"/>
  <c r="AH45" i="106"/>
  <c r="AH63" i="106" s="1"/>
  <c r="AH40" i="106"/>
  <c r="AH36" i="106"/>
  <c r="AH37" i="106"/>
  <c r="AH27" i="106"/>
  <c r="AH33" i="106"/>
  <c r="AP38" i="106"/>
  <c r="AP34" i="106"/>
  <c r="AP44" i="106"/>
  <c r="AP64" i="106" s="1"/>
  <c r="AP39" i="106"/>
  <c r="AP35" i="106"/>
  <c r="AP42" i="106"/>
  <c r="AP60" i="106" s="1"/>
  <c r="AP45" i="106"/>
  <c r="AP63" i="106" s="1"/>
  <c r="AP40" i="106"/>
  <c r="AP36" i="106"/>
  <c r="AP43" i="106"/>
  <c r="AP61" i="106" s="1"/>
  <c r="AP37" i="106"/>
  <c r="AP27" i="106"/>
  <c r="AX38" i="106"/>
  <c r="AX34" i="106"/>
  <c r="AX44" i="106"/>
  <c r="AX64" i="106" s="1"/>
  <c r="AX39" i="106"/>
  <c r="AX35" i="106"/>
  <c r="AX42" i="106"/>
  <c r="AX60" i="106" s="1"/>
  <c r="AX45" i="106"/>
  <c r="AX63" i="106" s="1"/>
  <c r="AX40" i="106"/>
  <c r="AX36" i="106"/>
  <c r="AX43" i="106"/>
  <c r="AX61" i="106" s="1"/>
  <c r="AX37" i="106"/>
  <c r="AX33" i="106"/>
  <c r="AX27" i="106"/>
  <c r="BF38" i="106"/>
  <c r="BF34" i="106"/>
  <c r="BF44" i="106"/>
  <c r="BF64" i="106" s="1"/>
  <c r="BF39" i="106"/>
  <c r="BF35" i="106"/>
  <c r="BF42" i="106"/>
  <c r="BF60" i="106" s="1"/>
  <c r="BF40" i="106"/>
  <c r="BF36" i="106"/>
  <c r="BF33" i="106"/>
  <c r="BF45" i="106"/>
  <c r="BF63" i="106" s="1"/>
  <c r="BF27" i="106"/>
  <c r="BF43" i="106"/>
  <c r="BF61" i="106" s="1"/>
  <c r="BN45" i="106"/>
  <c r="BN63" i="106" s="1"/>
  <c r="BN38" i="106"/>
  <c r="BN34" i="106"/>
  <c r="BN44" i="106"/>
  <c r="BN64" i="106" s="1"/>
  <c r="BN39" i="106"/>
  <c r="BN35" i="106"/>
  <c r="BN42" i="106"/>
  <c r="BN60" i="106" s="1"/>
  <c r="BN40" i="106"/>
  <c r="BN36" i="106"/>
  <c r="BN37" i="106"/>
  <c r="BN43" i="106"/>
  <c r="BN61" i="106" s="1"/>
  <c r="BN27" i="106"/>
  <c r="BN33" i="106"/>
  <c r="BV38" i="106"/>
  <c r="BV34" i="106"/>
  <c r="BV44" i="106"/>
  <c r="BV64" i="106" s="1"/>
  <c r="BV45" i="106"/>
  <c r="BV63" i="106" s="1"/>
  <c r="BV39" i="106"/>
  <c r="BV35" i="106"/>
  <c r="BV42" i="106"/>
  <c r="BV60" i="106" s="1"/>
  <c r="BV40" i="106"/>
  <c r="BV36" i="106"/>
  <c r="BV43" i="106"/>
  <c r="BV61" i="106" s="1"/>
  <c r="BV37" i="106"/>
  <c r="BV27" i="106"/>
  <c r="CD38" i="106"/>
  <c r="CD34" i="106"/>
  <c r="CD44" i="106"/>
  <c r="CD64" i="106" s="1"/>
  <c r="CD39" i="106"/>
  <c r="CD35" i="106"/>
  <c r="CD42" i="106"/>
  <c r="CD60" i="106" s="1"/>
  <c r="CD45" i="106"/>
  <c r="CD63" i="106" s="1"/>
  <c r="CD40" i="106"/>
  <c r="CD36" i="106"/>
  <c r="CD43" i="106"/>
  <c r="CD61" i="106" s="1"/>
  <c r="CD37" i="106"/>
  <c r="CD33" i="106"/>
  <c r="CD27" i="106"/>
  <c r="CL45" i="106"/>
  <c r="CL63" i="106" s="1"/>
  <c r="CL38" i="106"/>
  <c r="CL34" i="106"/>
  <c r="CL44" i="106"/>
  <c r="CL64" i="106" s="1"/>
  <c r="CL39" i="106"/>
  <c r="CL35" i="106"/>
  <c r="CL42" i="106"/>
  <c r="CL60" i="106" s="1"/>
  <c r="CL40" i="106"/>
  <c r="CL36" i="106"/>
  <c r="CL43" i="106"/>
  <c r="CL61" i="106" s="1"/>
  <c r="CL27" i="106"/>
  <c r="CL33" i="106"/>
  <c r="K20" i="106"/>
  <c r="S20" i="106"/>
  <c r="S54" i="106" s="1"/>
  <c r="AA20" i="106"/>
  <c r="AA54" i="106" s="1"/>
  <c r="AJ20" i="106"/>
  <c r="AS20" i="106"/>
  <c r="BC20" i="106"/>
  <c r="BL20" i="106"/>
  <c r="BL54" i="106" s="1"/>
  <c r="BU20" i="106"/>
  <c r="CD20" i="106"/>
  <c r="N21" i="106"/>
  <c r="W21" i="106"/>
  <c r="AG21" i="106"/>
  <c r="AP21" i="106"/>
  <c r="AY21" i="106"/>
  <c r="BH21" i="106"/>
  <c r="BH54" i="106" s="1"/>
  <c r="BR21" i="106"/>
  <c r="CC21" i="106"/>
  <c r="O22" i="106"/>
  <c r="Y22" i="106"/>
  <c r="AJ22" i="106"/>
  <c r="BC22" i="106"/>
  <c r="BU22" i="106"/>
  <c r="K23" i="106"/>
  <c r="K55" i="106" s="1"/>
  <c r="AH23" i="106"/>
  <c r="AH55" i="106" s="1"/>
  <c r="AZ23" i="106"/>
  <c r="BW23" i="106"/>
  <c r="AE24" i="106"/>
  <c r="J25" i="106"/>
  <c r="BV25" i="106"/>
  <c r="BA26" i="106"/>
  <c r="M28" i="106"/>
  <c r="AJ29" i="106"/>
  <c r="AJ28" i="106" s="1"/>
  <c r="BB29" i="106"/>
  <c r="BB28" i="106" s="1"/>
  <c r="O30" i="106"/>
  <c r="AG30" i="106"/>
  <c r="CA30" i="106"/>
  <c r="L31" i="106"/>
  <c r="BF31" i="106"/>
  <c r="BX31" i="106"/>
  <c r="U32" i="106"/>
  <c r="AY34" i="106"/>
  <c r="K35" i="106"/>
  <c r="AV45" i="106"/>
  <c r="AV63" i="106" s="1"/>
  <c r="FV41" i="106"/>
  <c r="AK41" i="106" l="1"/>
  <c r="AK62" i="106" s="1"/>
  <c r="BU41" i="106"/>
  <c r="BU62" i="106" s="1"/>
  <c r="CL55" i="106"/>
  <c r="AV41" i="106"/>
  <c r="AV62" i="106" s="1"/>
  <c r="BO41" i="106"/>
  <c r="BO62" i="106" s="1"/>
  <c r="CJ41" i="106"/>
  <c r="CJ62" i="106" s="1"/>
  <c r="AF41" i="106"/>
  <c r="AF62" i="106" s="1"/>
  <c r="BX41" i="106"/>
  <c r="BX62" i="106" s="1"/>
  <c r="BX65" i="106" s="1"/>
  <c r="BX67" i="106" s="1"/>
  <c r="BX68" i="106" s="1"/>
  <c r="CD55" i="106"/>
  <c r="AZ41" i="106"/>
  <c r="AZ62" i="106" s="1"/>
  <c r="AZ65" i="106" s="1"/>
  <c r="AZ67" i="106" s="1"/>
  <c r="BN55" i="106"/>
  <c r="CK41" i="106"/>
  <c r="CK62" i="106" s="1"/>
  <c r="I65" i="106"/>
  <c r="BA41" i="106"/>
  <c r="BA62" i="106" s="1"/>
  <c r="I41" i="106"/>
  <c r="I62" i="106" s="1"/>
  <c r="AP41" i="106"/>
  <c r="AP62" i="106" s="1"/>
  <c r="AP65" i="106" s="1"/>
  <c r="AP67" i="106" s="1"/>
  <c r="Z41" i="106"/>
  <c r="Z62" i="106" s="1"/>
  <c r="J41" i="106"/>
  <c r="J62" i="106" s="1"/>
  <c r="AI41" i="106"/>
  <c r="AI62" i="106" s="1"/>
  <c r="AI65" i="106" s="1"/>
  <c r="AI67" i="106" s="1"/>
  <c r="AG41" i="106"/>
  <c r="AG62" i="106" s="1"/>
  <c r="S41" i="106"/>
  <c r="S62" i="106" s="1"/>
  <c r="BP28" i="106"/>
  <c r="CK28" i="106"/>
  <c r="BF54" i="106"/>
  <c r="AS28" i="106"/>
  <c r="AR28" i="106"/>
  <c r="M50" i="106"/>
  <c r="M52" i="106" s="1"/>
  <c r="AI28" i="106"/>
  <c r="CF28" i="106"/>
  <c r="BY54" i="106"/>
  <c r="AF54" i="106"/>
  <c r="BQ28" i="106"/>
  <c r="AK28" i="106"/>
  <c r="BH28" i="106"/>
  <c r="AK51" i="106"/>
  <c r="AK53" i="106" s="1"/>
  <c r="BD28" i="106"/>
  <c r="CH54" i="106"/>
  <c r="AT28" i="106"/>
  <c r="H28" i="106"/>
  <c r="BX55" i="106"/>
  <c r="W54" i="106"/>
  <c r="BZ54" i="106"/>
  <c r="BB54" i="106"/>
  <c r="BO54" i="106"/>
  <c r="BT28" i="106"/>
  <c r="R55" i="106"/>
  <c r="BM54" i="106"/>
  <c r="CG28" i="106"/>
  <c r="BV55" i="106"/>
  <c r="R54" i="106"/>
  <c r="Y28" i="106"/>
  <c r="AD54" i="106"/>
  <c r="L28" i="106"/>
  <c r="AV28" i="106"/>
  <c r="BJ28" i="106"/>
  <c r="AD28" i="106"/>
  <c r="BV54" i="106"/>
  <c r="BG55" i="106"/>
  <c r="BP55" i="106"/>
  <c r="CD54" i="106"/>
  <c r="Z55" i="106"/>
  <c r="BU54" i="106"/>
  <c r="BQ54" i="106"/>
  <c r="AC50" i="106"/>
  <c r="AC52" i="106" s="1"/>
  <c r="BX54" i="106"/>
  <c r="CA55" i="106"/>
  <c r="BC55" i="106"/>
  <c r="AX55" i="106"/>
  <c r="M51" i="106"/>
  <c r="M53" i="106" s="1"/>
  <c r="U28" i="106"/>
  <c r="BD54" i="106"/>
  <c r="BB55" i="106"/>
  <c r="AC54" i="106"/>
  <c r="AK54" i="106"/>
  <c r="AJ55" i="106"/>
  <c r="BA54" i="106"/>
  <c r="CF54" i="106"/>
  <c r="CI54" i="106"/>
  <c r="BO28" i="106"/>
  <c r="AI54" i="106"/>
  <c r="T54" i="106"/>
  <c r="J55" i="106"/>
  <c r="AL28" i="106"/>
  <c r="CE28" i="106"/>
  <c r="BF55" i="106"/>
  <c r="BE28" i="106"/>
  <c r="BY28" i="106"/>
  <c r="BW54" i="106"/>
  <c r="Y55" i="106"/>
  <c r="AE28" i="106"/>
  <c r="CJ54" i="106"/>
  <c r="AM54" i="106"/>
  <c r="CC54" i="106"/>
  <c r="J54" i="106"/>
  <c r="BS54" i="106"/>
  <c r="BL55" i="106"/>
  <c r="H54" i="106"/>
  <c r="AX28" i="106"/>
  <c r="CG54" i="106"/>
  <c r="AZ54" i="106"/>
  <c r="AF55" i="106"/>
  <c r="BI28" i="106"/>
  <c r="AA28" i="106"/>
  <c r="CL28" i="106"/>
  <c r="N54" i="106"/>
  <c r="AR54" i="106"/>
  <c r="AQ54" i="106"/>
  <c r="BP54" i="106"/>
  <c r="CA54" i="106"/>
  <c r="K54" i="106"/>
  <c r="AW54" i="106"/>
  <c r="AH54" i="106"/>
  <c r="AN54" i="106"/>
  <c r="AV54" i="106"/>
  <c r="Y54" i="106"/>
  <c r="BE54" i="106"/>
  <c r="AY54" i="106"/>
  <c r="AX54" i="106"/>
  <c r="Z54" i="106"/>
  <c r="M54" i="106"/>
  <c r="CL54" i="106"/>
  <c r="U54" i="106"/>
  <c r="AP54" i="106"/>
  <c r="AO54" i="106"/>
  <c r="CB54" i="106"/>
  <c r="I54" i="106"/>
  <c r="AG54" i="106"/>
  <c r="BC54" i="106"/>
  <c r="AS54" i="106"/>
  <c r="BR54" i="106"/>
  <c r="AT54" i="106"/>
  <c r="BT54" i="106"/>
  <c r="CK54" i="106"/>
  <c r="X54" i="106"/>
  <c r="AJ54" i="106"/>
  <c r="O54" i="106"/>
  <c r="G54" i="106"/>
  <c r="AX65" i="106"/>
  <c r="BW65" i="106"/>
  <c r="BW41" i="106"/>
  <c r="BW62" i="106" s="1"/>
  <c r="AB51" i="106"/>
  <c r="AB53" i="106" s="1"/>
  <c r="AB50" i="106"/>
  <c r="AB52" i="106" s="1"/>
  <c r="BZ50" i="106"/>
  <c r="BZ52" i="106" s="1"/>
  <c r="BZ51" i="106"/>
  <c r="BZ53" i="106" s="1"/>
  <c r="BB51" i="106"/>
  <c r="BB53" i="106" s="1"/>
  <c r="BB50" i="106"/>
  <c r="BB52" i="106" s="1"/>
  <c r="AV65" i="106"/>
  <c r="AQ51" i="106"/>
  <c r="AQ53" i="106" s="1"/>
  <c r="AQ50" i="106"/>
  <c r="AQ52" i="106" s="1"/>
  <c r="BV51" i="106"/>
  <c r="BV53" i="106" s="1"/>
  <c r="BV50" i="106"/>
  <c r="BV52" i="106" s="1"/>
  <c r="AG51" i="106"/>
  <c r="AG53" i="106" s="1"/>
  <c r="AG50" i="106"/>
  <c r="AG52" i="106" s="1"/>
  <c r="AG65" i="106"/>
  <c r="AG67" i="106" s="1"/>
  <c r="BI51" i="106"/>
  <c r="BI53" i="106" s="1"/>
  <c r="BI50" i="106"/>
  <c r="BI52" i="106" s="1"/>
  <c r="AV67" i="106"/>
  <c r="AV51" i="106"/>
  <c r="AV53" i="106" s="1"/>
  <c r="AV50" i="106"/>
  <c r="AV52" i="106" s="1"/>
  <c r="BH41" i="106"/>
  <c r="BH62" i="106" s="1"/>
  <c r="BH65" i="106" s="1"/>
  <c r="BH67" i="106" s="1"/>
  <c r="BD51" i="106"/>
  <c r="BD53" i="106" s="1"/>
  <c r="BD50" i="106"/>
  <c r="BD52" i="106" s="1"/>
  <c r="CD41" i="106"/>
  <c r="CD62" i="106" s="1"/>
  <c r="CD65" i="106" s="1"/>
  <c r="CD67" i="106" s="1"/>
  <c r="CD68" i="106" s="1"/>
  <c r="BN41" i="106"/>
  <c r="BN62" i="106" s="1"/>
  <c r="AY55" i="106"/>
  <c r="BU55" i="106"/>
  <c r="I55" i="106"/>
  <c r="AC51" i="106"/>
  <c r="AC53" i="106" s="1"/>
  <c r="CJ55" i="106"/>
  <c r="AV55" i="106"/>
  <c r="P55" i="106"/>
  <c r="P41" i="106"/>
  <c r="P62" i="106" s="1"/>
  <c r="BP50" i="106"/>
  <c r="BP52" i="106" s="1"/>
  <c r="BP51" i="106"/>
  <c r="BP53" i="106" s="1"/>
  <c r="T51" i="106"/>
  <c r="T53" i="106" s="1"/>
  <c r="AE50" i="106"/>
  <c r="AE52" i="106" s="1"/>
  <c r="AE51" i="106"/>
  <c r="AE53" i="106" s="1"/>
  <c r="BO55" i="106"/>
  <c r="CA41" i="106"/>
  <c r="CA62" i="106" s="1"/>
  <c r="CA65" i="106" s="1"/>
  <c r="CA67" i="106" s="1"/>
  <c r="CM40" i="106"/>
  <c r="BG51" i="106"/>
  <c r="BG53" i="106" s="1"/>
  <c r="BG50" i="106"/>
  <c r="BG52" i="106" s="1"/>
  <c r="AI50" i="106"/>
  <c r="AI52" i="106" s="1"/>
  <c r="AI51" i="106"/>
  <c r="AI53" i="106" s="1"/>
  <c r="CF55" i="106"/>
  <c r="CH65" i="106"/>
  <c r="CL51" i="106"/>
  <c r="CL53" i="106" s="1"/>
  <c r="CL50" i="106"/>
  <c r="CL52" i="106" s="1"/>
  <c r="BN28" i="106"/>
  <c r="Z51" i="106"/>
  <c r="Z53" i="106" s="1"/>
  <c r="Z50" i="106"/>
  <c r="Z52" i="106" s="1"/>
  <c r="BR51" i="106"/>
  <c r="BR53" i="106" s="1"/>
  <c r="BR50" i="106"/>
  <c r="BR52" i="106" s="1"/>
  <c r="BY55" i="106"/>
  <c r="BY41" i="106"/>
  <c r="BY62" i="106" s="1"/>
  <c r="BA55" i="106"/>
  <c r="AS41" i="106"/>
  <c r="AS62" i="106" s="1"/>
  <c r="AS65" i="106"/>
  <c r="CK51" i="106"/>
  <c r="CK53" i="106" s="1"/>
  <c r="CK50" i="106"/>
  <c r="CK52" i="106" s="1"/>
  <c r="BE51" i="106"/>
  <c r="BE53" i="106" s="1"/>
  <c r="BE50" i="106"/>
  <c r="BE52" i="106" s="1"/>
  <c r="Y51" i="106"/>
  <c r="Y53" i="106" s="1"/>
  <c r="Y50" i="106"/>
  <c r="Y52" i="106" s="1"/>
  <c r="T28" i="106"/>
  <c r="O51" i="106"/>
  <c r="O53" i="106" s="1"/>
  <c r="O50" i="106"/>
  <c r="O52" i="106" s="1"/>
  <c r="AD51" i="106"/>
  <c r="AD53" i="106" s="1"/>
  <c r="AD50" i="106"/>
  <c r="AD52" i="106" s="1"/>
  <c r="CE51" i="106"/>
  <c r="CE53" i="106" s="1"/>
  <c r="CE50" i="106"/>
  <c r="CE52" i="106" s="1"/>
  <c r="V51" i="106"/>
  <c r="V53" i="106" s="1"/>
  <c r="V50" i="106"/>
  <c r="V52" i="106" s="1"/>
  <c r="CA28" i="106"/>
  <c r="AB55" i="106"/>
  <c r="BE41" i="106"/>
  <c r="BE62" i="106" s="1"/>
  <c r="BE65" i="106" s="1"/>
  <c r="BE67" i="106" s="1"/>
  <c r="AW55" i="106"/>
  <c r="CG50" i="106"/>
  <c r="CG52" i="106" s="1"/>
  <c r="CG51" i="106"/>
  <c r="CG53" i="106" s="1"/>
  <c r="BA51" i="106"/>
  <c r="BA53" i="106" s="1"/>
  <c r="BA50" i="106"/>
  <c r="BA52" i="106" s="1"/>
  <c r="H55" i="106"/>
  <c r="H41" i="106"/>
  <c r="H62" i="106" s="1"/>
  <c r="H65" i="106" s="1"/>
  <c r="H67" i="106" s="1"/>
  <c r="L51" i="106"/>
  <c r="L53" i="106" s="1"/>
  <c r="P28" i="106"/>
  <c r="AC28" i="106"/>
  <c r="AA55" i="106"/>
  <c r="BD41" i="106"/>
  <c r="BD62" i="106" s="1"/>
  <c r="AF65" i="106"/>
  <c r="T50" i="106"/>
  <c r="T52" i="106" s="1"/>
  <c r="BT51" i="106"/>
  <c r="BT53" i="106" s="1"/>
  <c r="BT50" i="106"/>
  <c r="BT52" i="106" s="1"/>
  <c r="AR55" i="106"/>
  <c r="BK41" i="106"/>
  <c r="BK62" i="106" s="1"/>
  <c r="AU55" i="106"/>
  <c r="AU41" i="106"/>
  <c r="AU62" i="106" s="1"/>
  <c r="AU65" i="106" s="1"/>
  <c r="AU67" i="106" s="1"/>
  <c r="AE41" i="106"/>
  <c r="AE62" i="106" s="1"/>
  <c r="AE65" i="106" s="1"/>
  <c r="AE67" i="106" s="1"/>
  <c r="O55" i="106"/>
  <c r="O41" i="106"/>
  <c r="O62" i="106" s="1"/>
  <c r="G60" i="106"/>
  <c r="CM42" i="106"/>
  <c r="BW28" i="106"/>
  <c r="T41" i="106"/>
  <c r="T62" i="106" s="1"/>
  <c r="AQ55" i="106"/>
  <c r="CH41" i="106"/>
  <c r="CH62" i="106" s="1"/>
  <c r="BZ55" i="106"/>
  <c r="AT55" i="106"/>
  <c r="AL65" i="106"/>
  <c r="V41" i="106"/>
  <c r="V62" i="106" s="1"/>
  <c r="V65" i="106" s="1"/>
  <c r="V67" i="106" s="1"/>
  <c r="N55" i="106"/>
  <c r="BN51" i="106"/>
  <c r="BN53" i="106" s="1"/>
  <c r="BN50" i="106"/>
  <c r="BN52" i="106" s="1"/>
  <c r="AP28" i="106"/>
  <c r="S65" i="106"/>
  <c r="AK55" i="106"/>
  <c r="CC28" i="106"/>
  <c r="AW28" i="106"/>
  <c r="Q28" i="106"/>
  <c r="X28" i="106"/>
  <c r="K41" i="106"/>
  <c r="K62" i="106" s="1"/>
  <c r="K65" i="106" s="1"/>
  <c r="K67" i="106" s="1"/>
  <c r="BB41" i="106"/>
  <c r="BB62" i="106" s="1"/>
  <c r="BB65" i="106" s="1"/>
  <c r="BB67" i="106" s="1"/>
  <c r="G51" i="106"/>
  <c r="G50" i="106"/>
  <c r="Z65" i="106"/>
  <c r="Z67" i="106" s="1"/>
  <c r="AG55" i="106"/>
  <c r="U50" i="106"/>
  <c r="U52" i="106" s="1"/>
  <c r="L50" i="106"/>
  <c r="L52" i="106" s="1"/>
  <c r="P51" i="106"/>
  <c r="P53" i="106" s="1"/>
  <c r="P50" i="106"/>
  <c r="P52" i="106" s="1"/>
  <c r="AM28" i="106"/>
  <c r="BT55" i="106"/>
  <c r="BT41" i="106"/>
  <c r="BT62" i="106" s="1"/>
  <c r="AN55" i="106"/>
  <c r="P65" i="106"/>
  <c r="P67" i="106" s="1"/>
  <c r="P68" i="106" s="1"/>
  <c r="CF50" i="106"/>
  <c r="CF52" i="106" s="1"/>
  <c r="CF51" i="106"/>
  <c r="CF53" i="106" s="1"/>
  <c r="BH50" i="106"/>
  <c r="BH52" i="106" s="1"/>
  <c r="BH51" i="106"/>
  <c r="BH53" i="106" s="1"/>
  <c r="AR41" i="106"/>
  <c r="AR62" i="106" s="1"/>
  <c r="AR65" i="106" s="1"/>
  <c r="AR67" i="106" s="1"/>
  <c r="AB28" i="106"/>
  <c r="CI41" i="106"/>
  <c r="CI62" i="106" s="1"/>
  <c r="CI65" i="106" s="1"/>
  <c r="CI67" i="106" s="1"/>
  <c r="BK55" i="106"/>
  <c r="CM35" i="106"/>
  <c r="BW67" i="106"/>
  <c r="BW51" i="106"/>
  <c r="BW53" i="106" s="1"/>
  <c r="BW50" i="106"/>
  <c r="BW52" i="106" s="1"/>
  <c r="AY28" i="106"/>
  <c r="AA51" i="106"/>
  <c r="AA53" i="106" s="1"/>
  <c r="AA50" i="106"/>
  <c r="AA52" i="106" s="1"/>
  <c r="AA41" i="106"/>
  <c r="AA62" i="106" s="1"/>
  <c r="AA65" i="106"/>
  <c r="AA67" i="106" s="1"/>
  <c r="T55" i="106"/>
  <c r="BJ55" i="106"/>
  <c r="AD55" i="106"/>
  <c r="CD28" i="106"/>
  <c r="AP51" i="106"/>
  <c r="AP53" i="106" s="1"/>
  <c r="AP50" i="106"/>
  <c r="AP52" i="106" s="1"/>
  <c r="R28" i="106"/>
  <c r="BP41" i="106"/>
  <c r="BP62" i="106" s="1"/>
  <c r="BP65" i="106" s="1"/>
  <c r="BP67" i="106" s="1"/>
  <c r="CE55" i="106"/>
  <c r="BA65" i="106"/>
  <c r="BA67" i="106" s="1"/>
  <c r="AC41" i="106"/>
  <c r="AC62" i="106" s="1"/>
  <c r="AC65" i="106" s="1"/>
  <c r="AC67" i="106" s="1"/>
  <c r="U55" i="106"/>
  <c r="M41" i="106"/>
  <c r="M62" i="106" s="1"/>
  <c r="M65" i="106" s="1"/>
  <c r="M67" i="106" s="1"/>
  <c r="CC51" i="106"/>
  <c r="CC53" i="106" s="1"/>
  <c r="CC50" i="106"/>
  <c r="CC52" i="106" s="1"/>
  <c r="AW51" i="106"/>
  <c r="AW53" i="106" s="1"/>
  <c r="AW50" i="106"/>
  <c r="AW52" i="106" s="1"/>
  <c r="Q51" i="106"/>
  <c r="Q53" i="106" s="1"/>
  <c r="Q50" i="106"/>
  <c r="Q52" i="106" s="1"/>
  <c r="X51" i="106"/>
  <c r="X53" i="106" s="1"/>
  <c r="X50" i="106"/>
  <c r="X52" i="106" s="1"/>
  <c r="CI28" i="106"/>
  <c r="G61" i="106"/>
  <c r="CM43" i="106"/>
  <c r="K51" i="106"/>
  <c r="K53" i="106" s="1"/>
  <c r="K50" i="106"/>
  <c r="K52" i="106" s="1"/>
  <c r="AC55" i="106"/>
  <c r="T65" i="106"/>
  <c r="T67" i="106" s="1"/>
  <c r="G28" i="106"/>
  <c r="L41" i="106"/>
  <c r="L62" i="106" s="1"/>
  <c r="L65" i="106" s="1"/>
  <c r="L67" i="106" s="1"/>
  <c r="L68" i="106" s="1"/>
  <c r="CM36" i="106"/>
  <c r="Z28" i="106"/>
  <c r="CG41" i="106"/>
  <c r="CG62" i="106" s="1"/>
  <c r="CG65" i="106" s="1"/>
  <c r="CG67" i="106" s="1"/>
  <c r="AT51" i="106"/>
  <c r="AT53" i="106" s="1"/>
  <c r="AT50" i="106"/>
  <c r="AT52" i="106" s="1"/>
  <c r="AX41" i="106"/>
  <c r="AX62" i="106" s="1"/>
  <c r="R41" i="106"/>
  <c r="R62" i="106" s="1"/>
  <c r="R65" i="106" s="1"/>
  <c r="R67" i="106" s="1"/>
  <c r="CH67" i="106"/>
  <c r="CH50" i="106"/>
  <c r="CH52" i="106" s="1"/>
  <c r="CH51" i="106"/>
  <c r="CH53" i="106" s="1"/>
  <c r="BJ51" i="106"/>
  <c r="BJ53" i="106" s="1"/>
  <c r="BJ50" i="106"/>
  <c r="BJ52" i="106" s="1"/>
  <c r="N51" i="106"/>
  <c r="N53" i="106" s="1"/>
  <c r="N50" i="106"/>
  <c r="N52" i="106" s="1"/>
  <c r="W28" i="106"/>
  <c r="CC41" i="106"/>
  <c r="CC62" i="106" s="1"/>
  <c r="CC65" i="106" s="1"/>
  <c r="CC67" i="106" s="1"/>
  <c r="BE55" i="106"/>
  <c r="AW41" i="106"/>
  <c r="AW62" i="106" s="1"/>
  <c r="Q55" i="106"/>
  <c r="BY67" i="106"/>
  <c r="BY68" i="106" s="1"/>
  <c r="BY69" i="106" s="1"/>
  <c r="BY51" i="106"/>
  <c r="BY53" i="106" s="1"/>
  <c r="BY50" i="106"/>
  <c r="BY52" i="106" s="1"/>
  <c r="AS67" i="106"/>
  <c r="AS51" i="106"/>
  <c r="AS53" i="106" s="1"/>
  <c r="AS50" i="106"/>
  <c r="AS52" i="106" s="1"/>
  <c r="U51" i="106"/>
  <c r="U53" i="106" s="1"/>
  <c r="CB28" i="106"/>
  <c r="AM51" i="106"/>
  <c r="AM53" i="106" s="1"/>
  <c r="AM50" i="106"/>
  <c r="AM52" i="106" s="1"/>
  <c r="CJ65" i="106"/>
  <c r="CJ67" i="106" s="1"/>
  <c r="BD55" i="106"/>
  <c r="AN41" i="106"/>
  <c r="AN62" i="106" s="1"/>
  <c r="AN65" i="106" s="1"/>
  <c r="AN67" i="106" s="1"/>
  <c r="AN28" i="106"/>
  <c r="AE55" i="106"/>
  <c r="O65" i="106"/>
  <c r="O67" i="106" s="1"/>
  <c r="AY50" i="106"/>
  <c r="AY52" i="106" s="1"/>
  <c r="AY51" i="106"/>
  <c r="AY53" i="106" s="1"/>
  <c r="S28" i="106"/>
  <c r="BR41" i="106"/>
  <c r="BR62" i="106" s="1"/>
  <c r="BR65" i="106" s="1"/>
  <c r="BR67" i="106" s="1"/>
  <c r="AD41" i="106"/>
  <c r="AD62" i="106" s="1"/>
  <c r="N65" i="106"/>
  <c r="N67" i="106" s="1"/>
  <c r="CD51" i="106"/>
  <c r="CD53" i="106" s="1"/>
  <c r="CD50" i="106"/>
  <c r="CD52" i="106" s="1"/>
  <c r="BF28" i="106"/>
  <c r="R51" i="106"/>
  <c r="R53" i="106" s="1"/>
  <c r="R50" i="106"/>
  <c r="R52" i="106" s="1"/>
  <c r="BL28" i="106"/>
  <c r="BZ28" i="106"/>
  <c r="BC28" i="106"/>
  <c r="BH55" i="106"/>
  <c r="CG55" i="106"/>
  <c r="BY65" i="106"/>
  <c r="BI55" i="106"/>
  <c r="BI41" i="106"/>
  <c r="BI62" i="106" s="1"/>
  <c r="AS55" i="106"/>
  <c r="U41" i="106"/>
  <c r="U62" i="106" s="1"/>
  <c r="BU28" i="106"/>
  <c r="AO28" i="106"/>
  <c r="I28" i="106"/>
  <c r="CJ28" i="106"/>
  <c r="AQ41" i="106"/>
  <c r="AQ62" i="106" s="1"/>
  <c r="AQ65" i="106" s="1"/>
  <c r="AQ67" i="106" s="1"/>
  <c r="CI51" i="106"/>
  <c r="CI53" i="106" s="1"/>
  <c r="CI50" i="106"/>
  <c r="CI52" i="106" s="1"/>
  <c r="BS51" i="106"/>
  <c r="BS53" i="106" s="1"/>
  <c r="BS50" i="106"/>
  <c r="BS52" i="106" s="1"/>
  <c r="CM37" i="106"/>
  <c r="BK50" i="106"/>
  <c r="BK52" i="106" s="1"/>
  <c r="BK51" i="106"/>
  <c r="BK53" i="106" s="1"/>
  <c r="BM51" i="106"/>
  <c r="BM53" i="106" s="1"/>
  <c r="BM50" i="106"/>
  <c r="BM52" i="106" s="1"/>
  <c r="W55" i="106"/>
  <c r="AJ41" i="106"/>
  <c r="AJ62" i="106" s="1"/>
  <c r="AJ65" i="106" s="1"/>
  <c r="AJ67" i="106" s="1"/>
  <c r="AJ68" i="106" s="1"/>
  <c r="AJ69" i="106" s="1"/>
  <c r="J65" i="106"/>
  <c r="J67" i="106" s="1"/>
  <c r="J68" i="106" s="1"/>
  <c r="AY41" i="106"/>
  <c r="AY62" i="106" s="1"/>
  <c r="AY65" i="106" s="1"/>
  <c r="AY67" i="106" s="1"/>
  <c r="BW55" i="106"/>
  <c r="BV41" i="106"/>
  <c r="BV62" i="106" s="1"/>
  <c r="BV65" i="106" s="1"/>
  <c r="BV67" i="106" s="1"/>
  <c r="BV68" i="106" s="1"/>
  <c r="BN65" i="106"/>
  <c r="BN67" i="106" s="1"/>
  <c r="BN68" i="106" s="1"/>
  <c r="BN69" i="106" s="1"/>
  <c r="AL67" i="106"/>
  <c r="AL68" i="106" s="1"/>
  <c r="AL51" i="106"/>
  <c r="AL53" i="106" s="1"/>
  <c r="AL50" i="106"/>
  <c r="AL52" i="106" s="1"/>
  <c r="W51" i="106"/>
  <c r="W53" i="106" s="1"/>
  <c r="W50" i="106"/>
  <c r="W52" i="106" s="1"/>
  <c r="CK65" i="106"/>
  <c r="CK67" i="106" s="1"/>
  <c r="AO41" i="106"/>
  <c r="AO62" i="106" s="1"/>
  <c r="AO65" i="106" s="1"/>
  <c r="AO67" i="106" s="1"/>
  <c r="AK50" i="106"/>
  <c r="AK52" i="106" s="1"/>
  <c r="CB51" i="106"/>
  <c r="CB53" i="106" s="1"/>
  <c r="CB50" i="106"/>
  <c r="CB52" i="106" s="1"/>
  <c r="X41" i="106"/>
  <c r="X62" i="106" s="1"/>
  <c r="X65" i="106" s="1"/>
  <c r="X67" i="106" s="1"/>
  <c r="AR50" i="106"/>
  <c r="AR52" i="106" s="1"/>
  <c r="AR51" i="106"/>
  <c r="AR53" i="106" s="1"/>
  <c r="AN51" i="106"/>
  <c r="AN53" i="106" s="1"/>
  <c r="AN50" i="106"/>
  <c r="AN52" i="106" s="1"/>
  <c r="CI55" i="106"/>
  <c r="BS41" i="106"/>
  <c r="BS62" i="106" s="1"/>
  <c r="BS65" i="106" s="1"/>
  <c r="BS67" i="106" s="1"/>
  <c r="G41" i="106"/>
  <c r="CM34" i="106"/>
  <c r="S67" i="106"/>
  <c r="S50" i="106"/>
  <c r="S52" i="106" s="1"/>
  <c r="S51" i="106"/>
  <c r="S53" i="106" s="1"/>
  <c r="AT41" i="106"/>
  <c r="AT62" i="106" s="1"/>
  <c r="AD65" i="106"/>
  <c r="AD67" i="106" s="1"/>
  <c r="BF51" i="106"/>
  <c r="BF53" i="106" s="1"/>
  <c r="BF50" i="106"/>
  <c r="BF52" i="106" s="1"/>
  <c r="AH28" i="106"/>
  <c r="BL51" i="106"/>
  <c r="BL53" i="106" s="1"/>
  <c r="BL50" i="106"/>
  <c r="BL52" i="106" s="1"/>
  <c r="BC51" i="106"/>
  <c r="BC53" i="106" s="1"/>
  <c r="BC50" i="106"/>
  <c r="BC52" i="106" s="1"/>
  <c r="AP55" i="106"/>
  <c r="BQ41" i="106"/>
  <c r="BQ62" i="106" s="1"/>
  <c r="BQ65" i="106" s="1"/>
  <c r="BQ67" i="106" s="1"/>
  <c r="U65" i="106"/>
  <c r="U67" i="106" s="1"/>
  <c r="BU51" i="106"/>
  <c r="BU53" i="106" s="1"/>
  <c r="BU50" i="106"/>
  <c r="BU52" i="106" s="1"/>
  <c r="AO51" i="106"/>
  <c r="AO53" i="106" s="1"/>
  <c r="AO50" i="106"/>
  <c r="AO52" i="106" s="1"/>
  <c r="I67" i="106"/>
  <c r="I51" i="106"/>
  <c r="I53" i="106" s="1"/>
  <c r="I50" i="106"/>
  <c r="I52" i="106" s="1"/>
  <c r="CF41" i="106"/>
  <c r="CF62" i="106" s="1"/>
  <c r="CF65" i="106" s="1"/>
  <c r="CF67" i="106" s="1"/>
  <c r="CJ51" i="106"/>
  <c r="CJ53" i="106" s="1"/>
  <c r="CJ50" i="106"/>
  <c r="CJ52" i="106" s="1"/>
  <c r="AU28" i="106"/>
  <c r="AW65" i="106"/>
  <c r="AW67" i="106" s="1"/>
  <c r="AW68" i="106" s="1"/>
  <c r="BK65" i="106"/>
  <c r="BK67" i="106" s="1"/>
  <c r="CH55" i="106"/>
  <c r="J51" i="106"/>
  <c r="J53" i="106" s="1"/>
  <c r="J50" i="106"/>
  <c r="J52" i="106" s="1"/>
  <c r="H51" i="106"/>
  <c r="H53" i="106" s="1"/>
  <c r="H50" i="106"/>
  <c r="H52" i="106" s="1"/>
  <c r="BG28" i="106"/>
  <c r="AX67" i="106"/>
  <c r="AX68" i="106" s="1"/>
  <c r="AX51" i="106"/>
  <c r="AX53" i="106" s="1"/>
  <c r="AX50" i="106"/>
  <c r="AX52" i="106" s="1"/>
  <c r="AF67" i="106"/>
  <c r="AF68" i="106" s="1"/>
  <c r="AF51" i="106"/>
  <c r="AF53" i="106" s="1"/>
  <c r="AF50" i="106"/>
  <c r="AF52" i="106" s="1"/>
  <c r="BI65" i="106"/>
  <c r="BI67" i="106" s="1"/>
  <c r="CL41" i="106"/>
  <c r="CL62" i="106" s="1"/>
  <c r="CL65" i="106" s="1"/>
  <c r="CL67" i="106" s="1"/>
  <c r="AH41" i="106"/>
  <c r="AH62" i="106" s="1"/>
  <c r="AH65" i="106" s="1"/>
  <c r="AH67" i="106" s="1"/>
  <c r="CA50" i="106"/>
  <c r="CA52" i="106" s="1"/>
  <c r="CA51" i="106"/>
  <c r="CA53" i="106" s="1"/>
  <c r="AZ55" i="106"/>
  <c r="BF41" i="106"/>
  <c r="BF62" i="106" s="1"/>
  <c r="BF65" i="106" s="1"/>
  <c r="BF67" i="106" s="1"/>
  <c r="BX28" i="106"/>
  <c r="CK55" i="106"/>
  <c r="CC55" i="106"/>
  <c r="BU65" i="106"/>
  <c r="BU67" i="106" s="1"/>
  <c r="BU68" i="106" s="1"/>
  <c r="BM41" i="106"/>
  <c r="BM62" i="106" s="1"/>
  <c r="BM65" i="106" s="1"/>
  <c r="BM67" i="106" s="1"/>
  <c r="AO55" i="106"/>
  <c r="Y65" i="106"/>
  <c r="Y67" i="106" s="1"/>
  <c r="Q41" i="106"/>
  <c r="Q62" i="106" s="1"/>
  <c r="Q65" i="106" s="1"/>
  <c r="Q67" i="106" s="1"/>
  <c r="BQ51" i="106"/>
  <c r="BQ53" i="106" s="1"/>
  <c r="BQ50" i="106"/>
  <c r="BQ52" i="106" s="1"/>
  <c r="AZ50" i="106"/>
  <c r="AZ52" i="106" s="1"/>
  <c r="AZ51" i="106"/>
  <c r="AZ53" i="106" s="1"/>
  <c r="AB41" i="106"/>
  <c r="AB62" i="106" s="1"/>
  <c r="AB65" i="106" s="1"/>
  <c r="AB67" i="106" s="1"/>
  <c r="CB55" i="106"/>
  <c r="CB41" i="106"/>
  <c r="CB62" i="106" s="1"/>
  <c r="CB65" i="106" s="1"/>
  <c r="CB67" i="106" s="1"/>
  <c r="BT65" i="106"/>
  <c r="BT67" i="106" s="1"/>
  <c r="BT68" i="106" s="1"/>
  <c r="BT69" i="106" s="1"/>
  <c r="BL41" i="106"/>
  <c r="BL62" i="106" s="1"/>
  <c r="BL65" i="106" s="1"/>
  <c r="BL67" i="106" s="1"/>
  <c r="BD65" i="106"/>
  <c r="BD67" i="106" s="1"/>
  <c r="X55" i="106"/>
  <c r="BX50" i="106"/>
  <c r="BX52" i="106" s="1"/>
  <c r="BX51" i="106"/>
  <c r="BX53" i="106" s="1"/>
  <c r="BG41" i="106"/>
  <c r="BG62" i="106" s="1"/>
  <c r="BG65" i="106" s="1"/>
  <c r="BG67" i="106" s="1"/>
  <c r="BG68" i="106" s="1"/>
  <c r="BG69" i="106" s="1"/>
  <c r="BS28" i="106"/>
  <c r="BS55" i="106"/>
  <c r="BC41" i="106"/>
  <c r="BC62" i="106" s="1"/>
  <c r="BC65" i="106" s="1"/>
  <c r="BC67" i="106" s="1"/>
  <c r="AM55" i="106"/>
  <c r="AM41" i="106"/>
  <c r="AM62" i="106" s="1"/>
  <c r="AM65" i="106" s="1"/>
  <c r="AM67" i="106" s="1"/>
  <c r="W41" i="106"/>
  <c r="W62" i="106" s="1"/>
  <c r="W65" i="106" s="1"/>
  <c r="W67" i="106" s="1"/>
  <c r="G55" i="106"/>
  <c r="CM38" i="106"/>
  <c r="BO50" i="106"/>
  <c r="BO52" i="106" s="1"/>
  <c r="BO51" i="106"/>
  <c r="BO53" i="106" s="1"/>
  <c r="AQ28" i="106"/>
  <c r="K28" i="106"/>
  <c r="BO65" i="106"/>
  <c r="BO67" i="106" s="1"/>
  <c r="V28" i="106"/>
  <c r="BZ41" i="106"/>
  <c r="BZ62" i="106" s="1"/>
  <c r="BZ65" i="106" s="1"/>
  <c r="BZ67" i="106" s="1"/>
  <c r="BR55" i="106"/>
  <c r="BJ65" i="106"/>
  <c r="BJ67" i="106" s="1"/>
  <c r="BJ68" i="106" s="1"/>
  <c r="AT65" i="106"/>
  <c r="AT67" i="106" s="1"/>
  <c r="V55" i="106"/>
  <c r="BV28" i="106"/>
  <c r="AH51" i="106"/>
  <c r="AH53" i="106" s="1"/>
  <c r="AH50" i="106"/>
  <c r="AH52" i="106" s="1"/>
  <c r="J28" i="106"/>
  <c r="AI55" i="106"/>
  <c r="O28" i="106"/>
  <c r="S55" i="106"/>
  <c r="BQ55" i="106"/>
  <c r="AK65" i="106"/>
  <c r="AK67" i="106" s="1"/>
  <c r="M55" i="106"/>
  <c r="AG28" i="106"/>
  <c r="CE41" i="106"/>
  <c r="CE62" i="106" s="1"/>
  <c r="CE65" i="106" s="1"/>
  <c r="CE67" i="106" s="1"/>
  <c r="AU51" i="106"/>
  <c r="AU53" i="106" s="1"/>
  <c r="AU50" i="106"/>
  <c r="AU52" i="106" s="1"/>
  <c r="AK68" i="106" l="1"/>
  <c r="AK69" i="106" s="1"/>
  <c r="BF68" i="106"/>
  <c r="BF69" i="106" s="1"/>
  <c r="BB68" i="106"/>
  <c r="BB70" i="106" s="1"/>
  <c r="BZ68" i="106"/>
  <c r="BZ69" i="106" s="1"/>
  <c r="BL68" i="106"/>
  <c r="BL69" i="106" s="1"/>
  <c r="BO68" i="106"/>
  <c r="BO70" i="106" s="1"/>
  <c r="CF68" i="106"/>
  <c r="CF69" i="106" s="1"/>
  <c r="AQ68" i="106"/>
  <c r="AQ69" i="106" s="1"/>
  <c r="CL68" i="106"/>
  <c r="CL69" i="106" s="1"/>
  <c r="R68" i="106"/>
  <c r="R70" i="106" s="1"/>
  <c r="AF70" i="106"/>
  <c r="S68" i="106"/>
  <c r="S69" i="106" s="1"/>
  <c r="AC68" i="106"/>
  <c r="AC69" i="106" s="1"/>
  <c r="AU68" i="106"/>
  <c r="AU70" i="106" s="1"/>
  <c r="U68" i="106"/>
  <c r="U69" i="106" s="1"/>
  <c r="AN68" i="106"/>
  <c r="Z68" i="106"/>
  <c r="Z69" i="106" s="1"/>
  <c r="BE68" i="106"/>
  <c r="BE69" i="106" s="1"/>
  <c r="BM68" i="106"/>
  <c r="BM69" i="106" s="1"/>
  <c r="BK68" i="106"/>
  <c r="BK69" i="106" s="1"/>
  <c r="BS68" i="106"/>
  <c r="BS69" i="106" s="1"/>
  <c r="AY68" i="106"/>
  <c r="AY70" i="106" s="1"/>
  <c r="BW68" i="106"/>
  <c r="BW70" i="106" s="1"/>
  <c r="Q68" i="106"/>
  <c r="Q70" i="106" s="1"/>
  <c r="AD68" i="106"/>
  <c r="AD69" i="106" s="1"/>
  <c r="AA68" i="106"/>
  <c r="AA70" i="106" s="1"/>
  <c r="CA68" i="106"/>
  <c r="CA69" i="106" s="1"/>
  <c r="I68" i="106"/>
  <c r="I69" i="106" s="1"/>
  <c r="AB68" i="106"/>
  <c r="AB69" i="106" s="1"/>
  <c r="AL70" i="106"/>
  <c r="BY70" i="106"/>
  <c r="CD70" i="106"/>
  <c r="BD68" i="106"/>
  <c r="BD69" i="106" s="1"/>
  <c r="BI68" i="106"/>
  <c r="BI70" i="106" s="1"/>
  <c r="CJ68" i="106"/>
  <c r="CJ69" i="106" s="1"/>
  <c r="AT68" i="106"/>
  <c r="AT69" i="106" s="1"/>
  <c r="AP68" i="106"/>
  <c r="AP69" i="106" s="1"/>
  <c r="T68" i="106"/>
  <c r="T69" i="106" s="1"/>
  <c r="AM68" i="106"/>
  <c r="AM69" i="106" s="1"/>
  <c r="P69" i="106"/>
  <c r="BR68" i="106"/>
  <c r="BR69" i="106" s="1"/>
  <c r="H68" i="106"/>
  <c r="H69" i="106" s="1"/>
  <c r="CH68" i="106"/>
  <c r="CH69" i="106" s="1"/>
  <c r="AW69" i="106"/>
  <c r="M68" i="106"/>
  <c r="M69" i="106" s="1"/>
  <c r="CE68" i="106"/>
  <c r="CE69" i="106" s="1"/>
  <c r="CB68" i="106"/>
  <c r="CB69" i="106" s="1"/>
  <c r="Y68" i="106"/>
  <c r="Y69" i="106" s="1"/>
  <c r="AF69" i="106"/>
  <c r="BJ70" i="106"/>
  <c r="AZ68" i="106"/>
  <c r="AZ70" i="106" s="1"/>
  <c r="CI68" i="106"/>
  <c r="CI69" i="106" s="1"/>
  <c r="K68" i="106"/>
  <c r="K70" i="106" s="1"/>
  <c r="AE68" i="106"/>
  <c r="AE69" i="106" s="1"/>
  <c r="BQ68" i="106"/>
  <c r="BQ69" i="106" s="1"/>
  <c r="AG68" i="106"/>
  <c r="AG69" i="106" s="1"/>
  <c r="BX69" i="106"/>
  <c r="BV69" i="106"/>
  <c r="CG68" i="106"/>
  <c r="CG69" i="106" s="1"/>
  <c r="W68" i="106"/>
  <c r="W69" i="106" s="1"/>
  <c r="CK68" i="106"/>
  <c r="CK70" i="106" s="1"/>
  <c r="BA68" i="106"/>
  <c r="BA69" i="106" s="1"/>
  <c r="AR68" i="106"/>
  <c r="AR70" i="106" s="1"/>
  <c r="BH68" i="106"/>
  <c r="BH70" i="106" s="1"/>
  <c r="X68" i="106"/>
  <c r="X69" i="106" s="1"/>
  <c r="CC68" i="106"/>
  <c r="CC69" i="106" s="1"/>
  <c r="V68" i="106"/>
  <c r="V69" i="106" s="1"/>
  <c r="O68" i="106"/>
  <c r="O69" i="106" s="1"/>
  <c r="K69" i="106"/>
  <c r="J69" i="106"/>
  <c r="AO68" i="106"/>
  <c r="AO69" i="106" s="1"/>
  <c r="N68" i="106"/>
  <c r="N69" i="106" s="1"/>
  <c r="BJ69" i="106"/>
  <c r="BU69" i="106"/>
  <c r="AH68" i="106"/>
  <c r="AH69" i="106" s="1"/>
  <c r="AX69" i="106"/>
  <c r="AN69" i="106"/>
  <c r="BC68" i="106"/>
  <c r="BC69" i="106" s="1"/>
  <c r="AS68" i="106"/>
  <c r="AS69" i="106" s="1"/>
  <c r="L69" i="106"/>
  <c r="Q69" i="106"/>
  <c r="BP68" i="106"/>
  <c r="BP69" i="106" s="1"/>
  <c r="P70" i="106"/>
  <c r="BE70" i="106"/>
  <c r="BV70" i="106"/>
  <c r="G62" i="106"/>
  <c r="CM41" i="106"/>
  <c r="AL69" i="106"/>
  <c r="CD69" i="106"/>
  <c r="AW70" i="106"/>
  <c r="CF70" i="106"/>
  <c r="O70" i="106"/>
  <c r="BX70" i="106"/>
  <c r="AI68" i="106"/>
  <c r="AI69" i="106" s="1"/>
  <c r="BF70" i="106"/>
  <c r="BU70" i="106"/>
  <c r="G52" i="106"/>
  <c r="AJ70" i="106"/>
  <c r="AX70" i="106"/>
  <c r="BN70" i="106"/>
  <c r="BG70" i="106"/>
  <c r="AV68" i="106"/>
  <c r="AV69" i="106" s="1"/>
  <c r="AN70" i="106"/>
  <c r="G53" i="106"/>
  <c r="BQ70" i="106"/>
  <c r="J70" i="106"/>
  <c r="BT70" i="106"/>
  <c r="L70" i="106"/>
  <c r="G65" i="106" l="1"/>
  <c r="AK70" i="106"/>
  <c r="CL70" i="106"/>
  <c r="AD70" i="106"/>
  <c r="R69" i="106"/>
  <c r="BB69" i="106"/>
  <c r="AM70" i="106"/>
  <c r="T70" i="106"/>
  <c r="CG70" i="106"/>
  <c r="CI70" i="106"/>
  <c r="BK70" i="106"/>
  <c r="U70" i="106"/>
  <c r="M70" i="106"/>
  <c r="W70" i="106"/>
  <c r="AY69" i="106"/>
  <c r="BZ70" i="106"/>
  <c r="AT70" i="106"/>
  <c r="BS70" i="106"/>
  <c r="I70" i="106"/>
  <c r="BL70" i="106"/>
  <c r="Z70" i="106"/>
  <c r="BO69" i="106"/>
  <c r="AZ69" i="106"/>
  <c r="CC70" i="106"/>
  <c r="AH70" i="106"/>
  <c r="AC70" i="106"/>
  <c r="AB70" i="106"/>
  <c r="AU69" i="106"/>
  <c r="V70" i="106"/>
  <c r="AP70" i="106"/>
  <c r="CK69" i="106"/>
  <c r="X70" i="106"/>
  <c r="BC70" i="106"/>
  <c r="S70" i="106"/>
  <c r="CJ70" i="106"/>
  <c r="CA70" i="106"/>
  <c r="BW69" i="106"/>
  <c r="AR69" i="106"/>
  <c r="AI70" i="106"/>
  <c r="AQ70" i="106"/>
  <c r="AA69" i="106"/>
  <c r="AG70" i="106"/>
  <c r="BM70" i="106"/>
  <c r="Y70" i="106"/>
  <c r="BI69" i="106"/>
  <c r="H70" i="106"/>
  <c r="AS70" i="106"/>
  <c r="BD70" i="106"/>
  <c r="AV70" i="106"/>
  <c r="AE70" i="106"/>
  <c r="CE70" i="106"/>
  <c r="CH70" i="106"/>
  <c r="BR70" i="106"/>
  <c r="BA70" i="106"/>
  <c r="CB70" i="106"/>
  <c r="N70" i="106"/>
  <c r="BH69" i="106"/>
  <c r="BP70" i="106"/>
  <c r="AO70" i="106"/>
  <c r="G67" i="106"/>
  <c r="G68" i="106" s="1"/>
  <c r="G70" i="106" s="1"/>
  <c r="D3" i="86" l="1"/>
  <c r="D26" i="86" s="1"/>
  <c r="D25" i="86" s="1"/>
  <c r="D33" i="86" s="1"/>
  <c r="G69" i="106"/>
  <c r="D2" i="86" s="1"/>
  <c r="D6" i="86" l="1"/>
  <c r="D5" i="86" s="1"/>
  <c r="D13" i="86" s="1"/>
  <c r="D16" i="86"/>
  <c r="D15" i="86" s="1"/>
  <c r="D23" i="86" s="1"/>
  <c r="Y56" i="105"/>
  <c r="X56" i="105"/>
  <c r="S56" i="105"/>
  <c r="Q56" i="105"/>
  <c r="P56" i="105"/>
  <c r="K56" i="105"/>
  <c r="I56" i="105"/>
  <c r="H56" i="105"/>
  <c r="Z54" i="105"/>
  <c r="Y54" i="105"/>
  <c r="X54" i="105"/>
  <c r="W54" i="105"/>
  <c r="V54" i="105"/>
  <c r="U54" i="105"/>
  <c r="T54" i="105"/>
  <c r="S54" i="105"/>
  <c r="R54" i="105"/>
  <c r="Q54" i="105"/>
  <c r="P54" i="105"/>
  <c r="O54" i="105"/>
  <c r="N54" i="105"/>
  <c r="M54" i="105"/>
  <c r="L54" i="105"/>
  <c r="K54" i="105"/>
  <c r="J54" i="105"/>
  <c r="I54" i="105"/>
  <c r="H54" i="105"/>
  <c r="Z52" i="105"/>
  <c r="Y52" i="105"/>
  <c r="X52" i="105"/>
  <c r="W52" i="105"/>
  <c r="V52" i="105"/>
  <c r="U52" i="105"/>
  <c r="T52" i="105"/>
  <c r="S52" i="105"/>
  <c r="R52" i="105"/>
  <c r="Q52" i="105"/>
  <c r="P52" i="105"/>
  <c r="O52" i="105"/>
  <c r="N52" i="105"/>
  <c r="M52" i="105"/>
  <c r="L52" i="105"/>
  <c r="L56" i="105" s="1"/>
  <c r="K52" i="105"/>
  <c r="J52" i="105"/>
  <c r="I52" i="105"/>
  <c r="H52" i="105"/>
  <c r="Z51" i="105"/>
  <c r="Z56" i="105" s="1"/>
  <c r="Y51" i="105"/>
  <c r="X51" i="105"/>
  <c r="W51" i="105"/>
  <c r="W56" i="105" s="1"/>
  <c r="V51" i="105"/>
  <c r="V56" i="105" s="1"/>
  <c r="U51" i="105"/>
  <c r="U56" i="105" s="1"/>
  <c r="T51" i="105"/>
  <c r="T56" i="105" s="1"/>
  <c r="S51" i="105"/>
  <c r="R51" i="105"/>
  <c r="R56" i="105" s="1"/>
  <c r="Q51" i="105"/>
  <c r="P51" i="105"/>
  <c r="O51" i="105"/>
  <c r="O56" i="105" s="1"/>
  <c r="N51" i="105"/>
  <c r="N56" i="105" s="1"/>
  <c r="M51" i="105"/>
  <c r="M56" i="105" s="1"/>
  <c r="L51" i="105"/>
  <c r="K51" i="105"/>
  <c r="J51" i="105"/>
  <c r="J56" i="105" s="1"/>
  <c r="I51" i="105"/>
  <c r="H51" i="105"/>
  <c r="Z50" i="105"/>
  <c r="S50" i="105"/>
  <c r="R50" i="105"/>
  <c r="L50" i="105"/>
  <c r="K50" i="105"/>
  <c r="J50" i="105"/>
  <c r="H29" i="105"/>
  <c r="I29" i="105" s="1"/>
  <c r="J29" i="105" s="1"/>
  <c r="K29" i="105" s="1"/>
  <c r="L29" i="105" s="1"/>
  <c r="M29" i="105" s="1"/>
  <c r="N29" i="105" s="1"/>
  <c r="O29" i="105" s="1"/>
  <c r="P29" i="105" s="1"/>
  <c r="Q29" i="105" s="1"/>
  <c r="R29" i="105" s="1"/>
  <c r="S29" i="105" s="1"/>
  <c r="T29" i="105" s="1"/>
  <c r="U29" i="105" s="1"/>
  <c r="V29" i="105" s="1"/>
  <c r="W29" i="105" s="1"/>
  <c r="X29" i="105" s="1"/>
  <c r="Y29" i="105" s="1"/>
  <c r="Z29" i="105" s="1"/>
  <c r="H19" i="105"/>
  <c r="Z12" i="105"/>
  <c r="Y12" i="105"/>
  <c r="Y50" i="105" s="1"/>
  <c r="X12" i="105"/>
  <c r="W12" i="105"/>
  <c r="V12" i="105"/>
  <c r="U12" i="105"/>
  <c r="U50" i="105" s="1"/>
  <c r="T12" i="105"/>
  <c r="T50" i="105" s="1"/>
  <c r="S12" i="105"/>
  <c r="R12" i="105"/>
  <c r="Q12" i="105"/>
  <c r="Q50" i="105" s="1"/>
  <c r="P12" i="105"/>
  <c r="O12" i="105"/>
  <c r="N12" i="105"/>
  <c r="M12" i="105"/>
  <c r="M50" i="105" s="1"/>
  <c r="L12" i="105"/>
  <c r="K12" i="105"/>
  <c r="J12" i="105"/>
  <c r="I12" i="105"/>
  <c r="I50" i="105" s="1"/>
  <c r="H12" i="105"/>
  <c r="G10" i="105"/>
  <c r="F9" i="105"/>
  <c r="E9" i="105"/>
  <c r="D9" i="105"/>
  <c r="C9" i="105"/>
  <c r="G8" i="105"/>
  <c r="F8" i="105"/>
  <c r="E8" i="105"/>
  <c r="D8" i="105"/>
  <c r="D10" i="105" s="1"/>
  <c r="D27" i="105" s="1"/>
  <c r="C8" i="105"/>
  <c r="C10" i="105" s="1"/>
  <c r="C27" i="105" s="1"/>
  <c r="A1" i="105"/>
  <c r="C7" i="82"/>
  <c r="D7" i="82"/>
  <c r="E7" i="82"/>
  <c r="F7" i="82"/>
  <c r="G7" i="82"/>
  <c r="H7" i="82"/>
  <c r="I7" i="82"/>
  <c r="J7" i="82"/>
  <c r="K7" i="82"/>
  <c r="B7" i="82"/>
  <c r="K6" i="82"/>
  <c r="J6" i="82"/>
  <c r="I6" i="82"/>
  <c r="H6" i="82"/>
  <c r="G6" i="82"/>
  <c r="F6" i="82"/>
  <c r="E6" i="82"/>
  <c r="D6" i="82"/>
  <c r="C6" i="82"/>
  <c r="B6" i="82"/>
  <c r="C11" i="82"/>
  <c r="D11" i="82"/>
  <c r="E11" i="82"/>
  <c r="F11" i="82"/>
  <c r="G11" i="82"/>
  <c r="H11" i="82"/>
  <c r="I11" i="82"/>
  <c r="J11" i="82"/>
  <c r="K11" i="82"/>
  <c r="B11" i="82"/>
  <c r="K10" i="82"/>
  <c r="J10" i="82"/>
  <c r="I10" i="82"/>
  <c r="H10" i="82"/>
  <c r="G10" i="82"/>
  <c r="F10" i="82"/>
  <c r="E10" i="82"/>
  <c r="D10" i="82"/>
  <c r="C10" i="82"/>
  <c r="B10" i="82"/>
  <c r="B17" i="82"/>
  <c r="F5" i="100"/>
  <c r="F6" i="100"/>
  <c r="F4" i="100"/>
  <c r="K2" i="82"/>
  <c r="J2" i="82"/>
  <c r="I2" i="82"/>
  <c r="H2" i="82"/>
  <c r="G2" i="82"/>
  <c r="F2" i="82"/>
  <c r="E2" i="82"/>
  <c r="D2" i="82"/>
  <c r="C2" i="82"/>
  <c r="B2" i="82"/>
  <c r="C18" i="82"/>
  <c r="D18" i="82"/>
  <c r="E18" i="82"/>
  <c r="F18" i="82"/>
  <c r="G18" i="82"/>
  <c r="H18" i="82"/>
  <c r="I18" i="82"/>
  <c r="J18" i="82"/>
  <c r="K18" i="82"/>
  <c r="B18" i="82"/>
  <c r="K17" i="82"/>
  <c r="J17" i="82"/>
  <c r="I17" i="82"/>
  <c r="H17" i="82"/>
  <c r="G17" i="82"/>
  <c r="F17" i="82"/>
  <c r="E17" i="82"/>
  <c r="D17" i="82"/>
  <c r="C17" i="82"/>
  <c r="O8" i="47"/>
  <c r="N8" i="47"/>
  <c r="K8" i="47"/>
  <c r="J8" i="47"/>
  <c r="E10" i="105" l="1"/>
  <c r="E27" i="105" s="1"/>
  <c r="F10" i="105"/>
  <c r="F27" i="105" s="1"/>
  <c r="N50" i="105"/>
  <c r="V50" i="105"/>
  <c r="O50" i="105"/>
  <c r="W50" i="105"/>
  <c r="H50" i="105"/>
  <c r="P50" i="105"/>
  <c r="X50" i="105"/>
  <c r="D17" i="81" l="1"/>
  <c r="K14" i="103" l="1"/>
  <c r="J14" i="103"/>
  <c r="I14" i="103"/>
  <c r="H14" i="103"/>
  <c r="G14" i="103"/>
  <c r="F14" i="103"/>
  <c r="E14" i="103"/>
  <c r="D14" i="103"/>
  <c r="C14" i="103"/>
  <c r="B14" i="103"/>
  <c r="K14" i="102"/>
  <c r="J14" i="102"/>
  <c r="I14" i="102"/>
  <c r="H14" i="102"/>
  <c r="G14" i="102"/>
  <c r="F14" i="102"/>
  <c r="E14" i="102"/>
  <c r="D14" i="102"/>
  <c r="C14" i="102"/>
  <c r="B14" i="102"/>
  <c r="K14" i="101"/>
  <c r="J14" i="101"/>
  <c r="I14" i="101"/>
  <c r="H14" i="101"/>
  <c r="G14" i="101"/>
  <c r="F14" i="101"/>
  <c r="E14" i="101"/>
  <c r="D14" i="101"/>
  <c r="C14" i="101"/>
  <c r="B14" i="101"/>
  <c r="E20" i="77"/>
  <c r="E21" i="99"/>
  <c r="E20" i="99"/>
  <c r="E19" i="99"/>
  <c r="G8" i="77"/>
  <c r="G8" i="39"/>
  <c r="C8" i="77" l="1"/>
  <c r="C10" i="77" s="1"/>
  <c r="K8" i="17" l="1"/>
  <c r="A1" i="100" l="1"/>
  <c r="E5" i="100"/>
  <c r="E6" i="100"/>
  <c r="F8" i="100"/>
  <c r="G8" i="100" s="1"/>
  <c r="H8" i="100" s="1"/>
  <c r="I8" i="100" s="1"/>
  <c r="J8" i="100" s="1"/>
  <c r="K8" i="100" s="1"/>
  <c r="L8" i="100" s="1"/>
  <c r="M8" i="100" s="1"/>
  <c r="N8" i="100" s="1"/>
  <c r="O8" i="100" s="1"/>
  <c r="P8" i="100" s="1"/>
  <c r="Q8" i="100" s="1"/>
  <c r="R8" i="100" s="1"/>
  <c r="S8" i="100" s="1"/>
  <c r="T8" i="100" s="1"/>
  <c r="U8" i="100" s="1"/>
  <c r="V8" i="100" s="1"/>
  <c r="W8" i="100" s="1"/>
  <c r="X8" i="100" s="1"/>
  <c r="E10" i="100"/>
  <c r="E11" i="100"/>
  <c r="E15" i="100"/>
  <c r="E95" i="100" s="1"/>
  <c r="E18" i="100"/>
  <c r="E17" i="100" s="1"/>
  <c r="A22" i="100"/>
  <c r="B25" i="100"/>
  <c r="B26" i="100"/>
  <c r="E26" i="100" s="1"/>
  <c r="C27" i="100"/>
  <c r="E27" i="100" s="1"/>
  <c r="B28" i="100"/>
  <c r="C28" i="100"/>
  <c r="F29" i="100"/>
  <c r="G29" i="100" s="1"/>
  <c r="H29" i="100" s="1"/>
  <c r="I29" i="100" s="1"/>
  <c r="J29" i="100" s="1"/>
  <c r="K29" i="100" s="1"/>
  <c r="L29" i="100" s="1"/>
  <c r="M29" i="100" s="1"/>
  <c r="N29" i="100" s="1"/>
  <c r="O29" i="100" s="1"/>
  <c r="P29" i="100" s="1"/>
  <c r="Q29" i="100" s="1"/>
  <c r="R29" i="100" s="1"/>
  <c r="S29" i="100" s="1"/>
  <c r="T29" i="100" s="1"/>
  <c r="U29" i="100" s="1"/>
  <c r="V29" i="100" s="1"/>
  <c r="W29" i="100" s="1"/>
  <c r="X29" i="100" s="1"/>
  <c r="E31" i="100"/>
  <c r="E30" i="100" s="1"/>
  <c r="E32" i="100"/>
  <c r="E36" i="100"/>
  <c r="E39" i="100"/>
  <c r="E98" i="100" s="1"/>
  <c r="A43" i="100"/>
  <c r="C46" i="100"/>
  <c r="E46" i="100" s="1"/>
  <c r="B47" i="100"/>
  <c r="F48" i="100"/>
  <c r="G48" i="100" s="1"/>
  <c r="H48" i="100" s="1"/>
  <c r="I48" i="100" s="1"/>
  <c r="J48" i="100" s="1"/>
  <c r="K48" i="100" s="1"/>
  <c r="L48" i="100" s="1"/>
  <c r="M48" i="100" s="1"/>
  <c r="N48" i="100" s="1"/>
  <c r="O48" i="100" s="1"/>
  <c r="P48" i="100" s="1"/>
  <c r="Q48" i="100" s="1"/>
  <c r="R48" i="100" s="1"/>
  <c r="S48" i="100" s="1"/>
  <c r="T48" i="100" s="1"/>
  <c r="U48" i="100" s="1"/>
  <c r="V48" i="100" s="1"/>
  <c r="W48" i="100" s="1"/>
  <c r="X48" i="100" s="1"/>
  <c r="Y48" i="100" s="1"/>
  <c r="Z48" i="100" s="1"/>
  <c r="AA48" i="100" s="1"/>
  <c r="AB48" i="100" s="1"/>
  <c r="AC48" i="100" s="1"/>
  <c r="AD48" i="100" s="1"/>
  <c r="E49" i="100"/>
  <c r="E51" i="100"/>
  <c r="E55" i="100"/>
  <c r="E56" i="100" s="1"/>
  <c r="E54" i="100" s="1"/>
  <c r="E58" i="100"/>
  <c r="B65" i="100"/>
  <c r="E66" i="100"/>
  <c r="C67" i="100"/>
  <c r="E67" i="100" s="1"/>
  <c r="F68" i="100"/>
  <c r="E70" i="100"/>
  <c r="E71" i="100"/>
  <c r="E75" i="100"/>
  <c r="E78" i="100"/>
  <c r="E85" i="100"/>
  <c r="E86" i="100"/>
  <c r="E87" i="100"/>
  <c r="F88" i="100"/>
  <c r="G88" i="100" s="1"/>
  <c r="H88" i="100" s="1"/>
  <c r="I88" i="100" s="1"/>
  <c r="J88" i="100" s="1"/>
  <c r="K88" i="100" s="1"/>
  <c r="L88" i="100" s="1"/>
  <c r="M88" i="100" s="1"/>
  <c r="N88" i="100" s="1"/>
  <c r="O88" i="100" s="1"/>
  <c r="P88" i="100" s="1"/>
  <c r="Q88" i="100" s="1"/>
  <c r="R88" i="100" s="1"/>
  <c r="S88" i="100" s="1"/>
  <c r="T88" i="100" s="1"/>
  <c r="U88" i="100" s="1"/>
  <c r="V88" i="100" s="1"/>
  <c r="W88" i="100" s="1"/>
  <c r="X88" i="100" s="1"/>
  <c r="E91" i="100"/>
  <c r="A1" i="98"/>
  <c r="E47" i="100" l="1"/>
  <c r="F47" i="100" s="1"/>
  <c r="F46" i="100"/>
  <c r="G68" i="100"/>
  <c r="I19" i="105"/>
  <c r="I19" i="77"/>
  <c r="Y21" i="105"/>
  <c r="Q21" i="105"/>
  <c r="I21" i="105"/>
  <c r="X21" i="105"/>
  <c r="P21" i="105"/>
  <c r="H21" i="105"/>
  <c r="K21" i="105"/>
  <c r="W21" i="105"/>
  <c r="O21" i="105"/>
  <c r="Z21" i="105"/>
  <c r="V21" i="105"/>
  <c r="N21" i="105"/>
  <c r="J21" i="105"/>
  <c r="U21" i="105"/>
  <c r="M21" i="105"/>
  <c r="R21" i="105"/>
  <c r="T21" i="105"/>
  <c r="L21" i="105"/>
  <c r="S21" i="105"/>
  <c r="I21" i="77"/>
  <c r="C14" i="98"/>
  <c r="C13" i="98"/>
  <c r="D14" i="98"/>
  <c r="D13" i="98"/>
  <c r="B9" i="98" a="1"/>
  <c r="D12" i="98" s="1"/>
  <c r="A1" i="99"/>
  <c r="E16" i="100"/>
  <c r="E14" i="100" s="1"/>
  <c r="E28" i="100"/>
  <c r="E84" i="100"/>
  <c r="F84" i="100" s="1"/>
  <c r="G84" i="100" s="1"/>
  <c r="H84" i="100" s="1"/>
  <c r="I84" i="100" s="1"/>
  <c r="J84" i="100" s="1"/>
  <c r="K84" i="100" s="1"/>
  <c r="L84" i="100" s="1"/>
  <c r="M84" i="100" s="1"/>
  <c r="N84" i="100" s="1"/>
  <c r="O84" i="100" s="1"/>
  <c r="P84" i="100" s="1"/>
  <c r="Q84" i="100" s="1"/>
  <c r="R84" i="100" s="1"/>
  <c r="S84" i="100" s="1"/>
  <c r="T84" i="100" s="1"/>
  <c r="U84" i="100" s="1"/>
  <c r="V84" i="100" s="1"/>
  <c r="W84" i="100" s="1"/>
  <c r="X84" i="100" s="1"/>
  <c r="E37" i="100"/>
  <c r="E35" i="100" s="1"/>
  <c r="G47" i="100"/>
  <c r="G45" i="100" s="1"/>
  <c r="F45" i="100"/>
  <c r="E76" i="100"/>
  <c r="E74" i="100" s="1"/>
  <c r="E45" i="100"/>
  <c r="E44" i="100" s="1"/>
  <c r="E59" i="100" s="1"/>
  <c r="E57" i="100" s="1"/>
  <c r="E60" i="100" s="1"/>
  <c r="E69" i="100"/>
  <c r="E9" i="100"/>
  <c r="E90" i="100"/>
  <c r="I13" i="98"/>
  <c r="B33" i="60"/>
  <c r="B11" i="97" s="1"/>
  <c r="B15" i="59"/>
  <c r="V22" i="105" l="1"/>
  <c r="N22" i="105"/>
  <c r="U22" i="105"/>
  <c r="M22" i="105"/>
  <c r="O22" i="105"/>
  <c r="T22" i="105"/>
  <c r="L22" i="105"/>
  <c r="X22" i="105"/>
  <c r="S22" i="105"/>
  <c r="K22" i="105"/>
  <c r="P22" i="105"/>
  <c r="W22" i="105"/>
  <c r="Z22" i="105"/>
  <c r="R22" i="105"/>
  <c r="J22" i="105"/>
  <c r="H22" i="105"/>
  <c r="Y22" i="105"/>
  <c r="Q22" i="105"/>
  <c r="I22" i="105"/>
  <c r="I22" i="77"/>
  <c r="C10" i="101"/>
  <c r="C10" i="103"/>
  <c r="C10" i="102"/>
  <c r="T20" i="105"/>
  <c r="L20" i="105"/>
  <c r="S20" i="105"/>
  <c r="K20" i="105"/>
  <c r="U20" i="105"/>
  <c r="Z20" i="105"/>
  <c r="R20" i="105"/>
  <c r="J20" i="105"/>
  <c r="F20" i="105" s="1"/>
  <c r="N20" i="105"/>
  <c r="Y20" i="105"/>
  <c r="Q20" i="105"/>
  <c r="I20" i="105"/>
  <c r="V20" i="105"/>
  <c r="M20" i="105"/>
  <c r="X20" i="105"/>
  <c r="P20" i="105"/>
  <c r="H20" i="105"/>
  <c r="W20" i="105"/>
  <c r="O20" i="105"/>
  <c r="I20" i="77"/>
  <c r="C8" i="103"/>
  <c r="C8" i="102"/>
  <c r="C8" i="101"/>
  <c r="H68" i="100"/>
  <c r="J19" i="105"/>
  <c r="G6" i="99"/>
  <c r="B22" i="99"/>
  <c r="B13" i="99"/>
  <c r="B14" i="99"/>
  <c r="B15" i="99"/>
  <c r="B16" i="99"/>
  <c r="E11" i="99" a="1"/>
  <c r="E11" i="99" s="1"/>
  <c r="C12" i="98"/>
  <c r="B9" i="98"/>
  <c r="C10" i="98"/>
  <c r="D10" i="98"/>
  <c r="C11" i="98"/>
  <c r="D11" i="98"/>
  <c r="H47" i="100"/>
  <c r="G3" i="99"/>
  <c r="E15" i="99" a="1"/>
  <c r="E15" i="99" s="1"/>
  <c r="E14" i="99" a="1"/>
  <c r="E14" i="99" s="1"/>
  <c r="E13" i="99" a="1"/>
  <c r="E13" i="99" s="1"/>
  <c r="E12" i="99" a="1"/>
  <c r="E12" i="99" s="1"/>
  <c r="E89" i="100"/>
  <c r="E96" i="100"/>
  <c r="E94" i="100" s="1"/>
  <c r="H45" i="100"/>
  <c r="I47" i="100"/>
  <c r="I68" i="100" l="1"/>
  <c r="K19" i="105"/>
  <c r="C11" i="103"/>
  <c r="C11" i="102"/>
  <c r="C11" i="101"/>
  <c r="C9" i="102"/>
  <c r="C9" i="101"/>
  <c r="C9" i="103"/>
  <c r="A2" i="99" a="1"/>
  <c r="A2" i="99" s="1"/>
  <c r="C9" i="98"/>
  <c r="J47" i="100"/>
  <c r="I45" i="100"/>
  <c r="E83" i="100"/>
  <c r="E99" i="100" s="1"/>
  <c r="E97" i="100" s="1"/>
  <c r="E100" i="100" s="1"/>
  <c r="J68" i="100" l="1"/>
  <c r="L19" i="105"/>
  <c r="K47" i="100"/>
  <c r="J45" i="100"/>
  <c r="K68" i="100" l="1"/>
  <c r="M19" i="105"/>
  <c r="L47" i="100"/>
  <c r="K45" i="100"/>
  <c r="L68" i="100" l="1"/>
  <c r="N19" i="105"/>
  <c r="M47" i="100"/>
  <c r="L45" i="100"/>
  <c r="M68" i="100" l="1"/>
  <c r="O19" i="105"/>
  <c r="N47" i="100"/>
  <c r="M45" i="100"/>
  <c r="N68" i="100" l="1"/>
  <c r="P19" i="105"/>
  <c r="O47" i="100"/>
  <c r="N45" i="100"/>
  <c r="O68" i="100" l="1"/>
  <c r="Q19" i="105"/>
  <c r="O45" i="100"/>
  <c r="P47" i="100"/>
  <c r="P68" i="100" l="1"/>
  <c r="R19" i="105"/>
  <c r="P45" i="100"/>
  <c r="Q47" i="100"/>
  <c r="Q68" i="100" l="1"/>
  <c r="S19" i="105"/>
  <c r="R47" i="100"/>
  <c r="Q45" i="100"/>
  <c r="R68" i="100" l="1"/>
  <c r="T19" i="105"/>
  <c r="S47" i="100"/>
  <c r="R45" i="100"/>
  <c r="S68" i="100" l="1"/>
  <c r="U19" i="105"/>
  <c r="T47" i="100"/>
  <c r="S45" i="100"/>
  <c r="T68" i="100" l="1"/>
  <c r="V19" i="105"/>
  <c r="U47" i="100"/>
  <c r="T45" i="100"/>
  <c r="U68" i="100" l="1"/>
  <c r="W19" i="105"/>
  <c r="V47" i="100"/>
  <c r="U45" i="100"/>
  <c r="V68" i="100" l="1"/>
  <c r="X19" i="105"/>
  <c r="W47" i="100"/>
  <c r="V45" i="100"/>
  <c r="W68" i="100" l="1"/>
  <c r="Y19" i="105"/>
  <c r="W45" i="100"/>
  <c r="X47" i="100"/>
  <c r="X68" i="100" l="1"/>
  <c r="Z19" i="105"/>
  <c r="X45" i="100"/>
  <c r="Y47" i="100"/>
  <c r="Z47" i="100" l="1"/>
  <c r="Y45" i="100"/>
  <c r="E15" i="51"/>
  <c r="H15" i="94"/>
  <c r="C8" i="92" s="1"/>
  <c r="H17" i="94"/>
  <c r="C10" i="92" s="1"/>
  <c r="H27" i="94"/>
  <c r="I27" i="94" s="1"/>
  <c r="J27" i="94" s="1"/>
  <c r="K27" i="94" s="1"/>
  <c r="L27" i="94" s="1"/>
  <c r="M27" i="94" s="1"/>
  <c r="N27" i="94" s="1"/>
  <c r="O27" i="94" s="1"/>
  <c r="P27" i="94" s="1"/>
  <c r="Q27" i="94" s="1"/>
  <c r="R27" i="94" s="1"/>
  <c r="S27" i="94" s="1"/>
  <c r="T27" i="94" s="1"/>
  <c r="U27" i="94" s="1"/>
  <c r="V27" i="94" s="1"/>
  <c r="W27" i="94" s="1"/>
  <c r="X27" i="94" s="1"/>
  <c r="Y27" i="94" s="1"/>
  <c r="Z27" i="94" s="1"/>
  <c r="AA47" i="100" l="1"/>
  <c r="Z45" i="100"/>
  <c r="G10" i="92"/>
  <c r="D10" i="92"/>
  <c r="E10" i="92"/>
  <c r="C6" i="93"/>
  <c r="E6" i="93" s="1"/>
  <c r="F6" i="93" s="1"/>
  <c r="G6" i="93" s="1"/>
  <c r="H6" i="93" s="1"/>
  <c r="F10" i="92"/>
  <c r="F8" i="92"/>
  <c r="G8" i="92"/>
  <c r="E8" i="92"/>
  <c r="D8" i="92"/>
  <c r="H11" i="94"/>
  <c r="H10" i="94" s="1"/>
  <c r="B5" i="91"/>
  <c r="C5" i="92" s="1"/>
  <c r="H48" i="94"/>
  <c r="F5" i="92"/>
  <c r="AB47" i="100" l="1"/>
  <c r="AA45" i="100"/>
  <c r="D5" i="92"/>
  <c r="C3" i="93"/>
  <c r="H14" i="94"/>
  <c r="C7" i="92" s="1"/>
  <c r="AC47" i="100" l="1"/>
  <c r="AB45" i="100"/>
  <c r="F3" i="93"/>
  <c r="H3" i="93"/>
  <c r="E3" i="93"/>
  <c r="G3" i="93"/>
  <c r="E7" i="92"/>
  <c r="D7" i="92"/>
  <c r="C5" i="93"/>
  <c r="F7" i="92"/>
  <c r="AC45" i="100" l="1"/>
  <c r="AD47" i="100"/>
  <c r="AD45" i="100" s="1"/>
  <c r="G5" i="93"/>
  <c r="E5" i="93"/>
  <c r="H5" i="93"/>
  <c r="F5" i="93" l="1"/>
  <c r="C41" i="86"/>
  <c r="C39" i="86"/>
  <c r="B38" i="86"/>
  <c r="E21" i="90"/>
  <c r="D21" i="90"/>
  <c r="H21" i="90" s="1"/>
  <c r="F21" i="90" s="1"/>
  <c r="E20" i="90"/>
  <c r="D20" i="90"/>
  <c r="H20" i="90" s="1"/>
  <c r="F20" i="90" s="1"/>
  <c r="H18" i="90"/>
  <c r="F18" i="90"/>
  <c r="H17" i="90"/>
  <c r="F17" i="90"/>
  <c r="H16" i="90"/>
  <c r="F16" i="90"/>
  <c r="H15" i="90"/>
  <c r="G15" i="90"/>
  <c r="F15" i="90"/>
  <c r="C15" i="90"/>
  <c r="H14" i="90"/>
  <c r="F14" i="90"/>
  <c r="H13" i="90"/>
  <c r="G13" i="90"/>
  <c r="F13" i="90"/>
  <c r="C13" i="90"/>
  <c r="H12" i="90"/>
  <c r="G12" i="90"/>
  <c r="F12" i="90"/>
  <c r="C12" i="90"/>
  <c r="H11" i="90"/>
  <c r="G11" i="90"/>
  <c r="F11" i="90"/>
  <c r="C11" i="90"/>
  <c r="G10" i="90"/>
  <c r="F10" i="90"/>
  <c r="G9" i="90"/>
  <c r="F9" i="90"/>
  <c r="G8" i="90"/>
  <c r="F8" i="90"/>
  <c r="G7" i="90"/>
  <c r="F7" i="90"/>
  <c r="F6" i="90"/>
  <c r="C6" i="90"/>
  <c r="G6" i="90" s="1"/>
  <c r="G5" i="90"/>
  <c r="F5" i="90"/>
  <c r="D4" i="90"/>
  <c r="D3" i="90"/>
  <c r="G1" i="90"/>
  <c r="C1" i="90"/>
  <c r="F3" i="90" l="1"/>
  <c r="A1" i="77" l="1"/>
  <c r="A1" i="94"/>
  <c r="A1" i="66"/>
  <c r="A1" i="80"/>
  <c r="A1" i="39" l="1"/>
  <c r="CM74" i="88"/>
  <c r="CM73" i="88"/>
  <c r="CM72" i="88"/>
  <c r="CM57" i="88"/>
  <c r="CM56" i="88"/>
  <c r="FU41" i="88"/>
  <c r="FT41" i="88"/>
  <c r="FS41" i="88"/>
  <c r="FR41" i="88"/>
  <c r="FQ41" i="88"/>
  <c r="FP41" i="88"/>
  <c r="FO41" i="88"/>
  <c r="FN41" i="88"/>
  <c r="FM41" i="88"/>
  <c r="FL41" i="88"/>
  <c r="FK41" i="88"/>
  <c r="FJ41" i="88"/>
  <c r="FI41" i="88"/>
  <c r="FH41" i="88"/>
  <c r="FG41" i="88"/>
  <c r="FF41" i="88"/>
  <c r="FE41" i="88"/>
  <c r="FD41" i="88"/>
  <c r="FC41" i="88"/>
  <c r="FB41" i="88"/>
  <c r="FA41" i="88"/>
  <c r="EZ41" i="88"/>
  <c r="EY41" i="88"/>
  <c r="EX41" i="88"/>
  <c r="EW41" i="88"/>
  <c r="EV41" i="88"/>
  <c r="EU41" i="88"/>
  <c r="ET41" i="88"/>
  <c r="ES41" i="88"/>
  <c r="ER41" i="88"/>
  <c r="EQ41" i="88"/>
  <c r="EP41" i="88"/>
  <c r="EO41" i="88"/>
  <c r="EN41" i="88"/>
  <c r="EM41" i="88"/>
  <c r="EL41" i="88"/>
  <c r="EK41" i="88"/>
  <c r="EJ41" i="88"/>
  <c r="EI41" i="88"/>
  <c r="EH41" i="88"/>
  <c r="EG41" i="88"/>
  <c r="EF41" i="88"/>
  <c r="EE41" i="88"/>
  <c r="ED41" i="88"/>
  <c r="EC41" i="88"/>
  <c r="EB41" i="88"/>
  <c r="EA41" i="88"/>
  <c r="DZ41" i="88"/>
  <c r="DY41" i="88"/>
  <c r="DX41" i="88"/>
  <c r="DW41" i="88"/>
  <c r="DV41" i="88"/>
  <c r="DU41" i="88"/>
  <c r="DT41" i="88"/>
  <c r="DS41" i="88"/>
  <c r="DR41" i="88"/>
  <c r="DQ41" i="88"/>
  <c r="DP41" i="88"/>
  <c r="DO41" i="88"/>
  <c r="DN41" i="88"/>
  <c r="DM41" i="88"/>
  <c r="DL41" i="88"/>
  <c r="DK41" i="88"/>
  <c r="DJ41" i="88"/>
  <c r="DI41" i="88"/>
  <c r="DH41" i="88"/>
  <c r="DG41" i="88"/>
  <c r="DF41" i="88"/>
  <c r="DE41" i="88"/>
  <c r="DD41" i="88"/>
  <c r="DC41" i="88"/>
  <c r="DB41" i="88"/>
  <c r="S55" i="88" s="1"/>
  <c r="DA41" i="88"/>
  <c r="R55" i="88" s="1"/>
  <c r="CZ41" i="88"/>
  <c r="Q55" i="88" s="1"/>
  <c r="CY41" i="88"/>
  <c r="P55" i="88" s="1"/>
  <c r="CX41" i="88"/>
  <c r="O55" i="88" s="1"/>
  <c r="CW41" i="88"/>
  <c r="N55" i="88" s="1"/>
  <c r="CV41" i="88"/>
  <c r="M55" i="88" s="1"/>
  <c r="CU41" i="88"/>
  <c r="L55" i="88" s="1"/>
  <c r="CT41" i="88"/>
  <c r="K55" i="88" s="1"/>
  <c r="CS41" i="88"/>
  <c r="J55" i="88" s="1"/>
  <c r="CR41" i="88"/>
  <c r="CQ41" i="88"/>
  <c r="CP41" i="88"/>
  <c r="CO41" i="88"/>
  <c r="FV40" i="88"/>
  <c r="FV39" i="88"/>
  <c r="FV38" i="88"/>
  <c r="FV37" i="88"/>
  <c r="FV36" i="88"/>
  <c r="FV35" i="88"/>
  <c r="FV34" i="88"/>
  <c r="D33" i="88"/>
  <c r="F22" i="88"/>
  <c r="F21" i="88"/>
  <c r="F20" i="88"/>
  <c r="F19" i="88"/>
  <c r="F18" i="88"/>
  <c r="CL15" i="88"/>
  <c r="CK15" i="88"/>
  <c r="CK49" i="88" s="1"/>
  <c r="CJ15" i="88"/>
  <c r="CI15" i="88"/>
  <c r="CH15" i="88"/>
  <c r="CG15" i="88"/>
  <c r="CG49" i="88" s="1"/>
  <c r="CF15" i="88"/>
  <c r="CE15" i="88"/>
  <c r="CD15" i="88"/>
  <c r="CC15" i="88"/>
  <c r="CC49" i="88" s="1"/>
  <c r="CB15" i="88"/>
  <c r="CA15" i="88"/>
  <c r="BZ15" i="88"/>
  <c r="BY15" i="88"/>
  <c r="BY49" i="88" s="1"/>
  <c r="BX15" i="88"/>
  <c r="BW15" i="88"/>
  <c r="BV15" i="88"/>
  <c r="BV26" i="88" s="1"/>
  <c r="BU15" i="88"/>
  <c r="BU49" i="88" s="1"/>
  <c r="BT15" i="88"/>
  <c r="BS15" i="88"/>
  <c r="BR15" i="88"/>
  <c r="BR26" i="88" s="1"/>
  <c r="BQ15" i="88"/>
  <c r="BQ49" i="88" s="1"/>
  <c r="BP15" i="88"/>
  <c r="BO15" i="88"/>
  <c r="BN15" i="88"/>
  <c r="BN26" i="88" s="1"/>
  <c r="BM15" i="88"/>
  <c r="BM49" i="88" s="1"/>
  <c r="BL15" i="88"/>
  <c r="BK15" i="88"/>
  <c r="BJ15" i="88"/>
  <c r="BI15" i="88"/>
  <c r="BI49" i="88" s="1"/>
  <c r="BH15" i="88"/>
  <c r="BG15" i="88"/>
  <c r="BF15" i="88"/>
  <c r="BF26" i="88" s="1"/>
  <c r="BE15" i="88"/>
  <c r="BE49" i="88" s="1"/>
  <c r="BD15" i="88"/>
  <c r="BC15" i="88"/>
  <c r="BB15" i="88"/>
  <c r="BB26" i="88" s="1"/>
  <c r="BA15" i="88"/>
  <c r="BA49" i="88" s="1"/>
  <c r="AZ15" i="88"/>
  <c r="AY15" i="88"/>
  <c r="AX15" i="88"/>
  <c r="AX26" i="88" s="1"/>
  <c r="AW15" i="88"/>
  <c r="AW49" i="88" s="1"/>
  <c r="AV15" i="88"/>
  <c r="AU15" i="88"/>
  <c r="AT15" i="88"/>
  <c r="AS15" i="88"/>
  <c r="AS49" i="88" s="1"/>
  <c r="AR15" i="88"/>
  <c r="AQ15" i="88"/>
  <c r="AP15" i="88"/>
  <c r="AP26" i="88" s="1"/>
  <c r="AO15" i="88"/>
  <c r="AO26" i="88" s="1"/>
  <c r="AN15" i="88"/>
  <c r="AM15" i="88"/>
  <c r="AL15" i="88"/>
  <c r="AL26" i="88" s="1"/>
  <c r="AK15" i="88"/>
  <c r="AK49" i="88" s="1"/>
  <c r="AJ15" i="88"/>
  <c r="AI15" i="88"/>
  <c r="AH15" i="88"/>
  <c r="AH26" i="88" s="1"/>
  <c r="AG15" i="88"/>
  <c r="AG49" i="88" s="1"/>
  <c r="AF15" i="88"/>
  <c r="AE15" i="88"/>
  <c r="AD15" i="88"/>
  <c r="AC15" i="88"/>
  <c r="AC49" i="88" s="1"/>
  <c r="AB15" i="88"/>
  <c r="AA15" i="88"/>
  <c r="Z15" i="88"/>
  <c r="Z26" i="88" s="1"/>
  <c r="Y15" i="88"/>
  <c r="Y49" i="88" s="1"/>
  <c r="X15" i="88"/>
  <c r="W15" i="88"/>
  <c r="V15" i="88"/>
  <c r="V26" i="88" s="1"/>
  <c r="U15" i="88"/>
  <c r="U49" i="88" s="1"/>
  <c r="T15" i="88"/>
  <c r="S15" i="88"/>
  <c r="S49" i="88" s="1"/>
  <c r="R15" i="88"/>
  <c r="R49" i="88" s="1"/>
  <c r="Q15" i="88"/>
  <c r="Q49" i="88" s="1"/>
  <c r="P15" i="88"/>
  <c r="P49" i="88" s="1"/>
  <c r="O15" i="88"/>
  <c r="O49" i="88" s="1"/>
  <c r="N15" i="88"/>
  <c r="N49" i="88" s="1"/>
  <c r="M15" i="88"/>
  <c r="M49" i="88" s="1"/>
  <c r="L15" i="88"/>
  <c r="L49" i="88" s="1"/>
  <c r="K15" i="88"/>
  <c r="K49" i="88" s="1"/>
  <c r="J15" i="88"/>
  <c r="J49" i="88" s="1"/>
  <c r="I15" i="88"/>
  <c r="I49" i="88" s="1"/>
  <c r="H15" i="88"/>
  <c r="H49" i="88" s="1"/>
  <c r="G15" i="88"/>
  <c r="G49" i="88" s="1"/>
  <c r="CL14" i="88"/>
  <c r="CK14" i="88"/>
  <c r="CK48" i="88" s="1"/>
  <c r="CJ14" i="88"/>
  <c r="CI14" i="88"/>
  <c r="CI25" i="88" s="1"/>
  <c r="CH14" i="88"/>
  <c r="CG14" i="88"/>
  <c r="CG48" i="88" s="1"/>
  <c r="CF14" i="88"/>
  <c r="CE14" i="88"/>
  <c r="CE25" i="88" s="1"/>
  <c r="CD14" i="88"/>
  <c r="CD25" i="88" s="1"/>
  <c r="CC14" i="88"/>
  <c r="CC48" i="88" s="1"/>
  <c r="CB14" i="88"/>
  <c r="CA14" i="88"/>
  <c r="CA25" i="88" s="1"/>
  <c r="BZ14" i="88"/>
  <c r="BZ25" i="88" s="1"/>
  <c r="BY14" i="88"/>
  <c r="BY48" i="88" s="1"/>
  <c r="BX14" i="88"/>
  <c r="BW14" i="88"/>
  <c r="BV14" i="88"/>
  <c r="BU14" i="88"/>
  <c r="BU48" i="88" s="1"/>
  <c r="BT14" i="88"/>
  <c r="BS14" i="88"/>
  <c r="BS25" i="88" s="1"/>
  <c r="BR14" i="88"/>
  <c r="BQ14" i="88"/>
  <c r="BQ48" i="88" s="1"/>
  <c r="BP14" i="88"/>
  <c r="BO14" i="88"/>
  <c r="BO25" i="88" s="1"/>
  <c r="BN14" i="88"/>
  <c r="BN25" i="88" s="1"/>
  <c r="BM14" i="88"/>
  <c r="BM48" i="88" s="1"/>
  <c r="BL14" i="88"/>
  <c r="BK14" i="88"/>
  <c r="BK25" i="88" s="1"/>
  <c r="BJ14" i="88"/>
  <c r="BJ31" i="88" s="1"/>
  <c r="BI14" i="88"/>
  <c r="BI48" i="88" s="1"/>
  <c r="BH14" i="88"/>
  <c r="BG14" i="88"/>
  <c r="BF14" i="88"/>
  <c r="BE14" i="88"/>
  <c r="BE48" i="88" s="1"/>
  <c r="BD14" i="88"/>
  <c r="BC14" i="88"/>
  <c r="BC25" i="88" s="1"/>
  <c r="BB14" i="88"/>
  <c r="BA14" i="88"/>
  <c r="BA48" i="88" s="1"/>
  <c r="AZ14" i="88"/>
  <c r="AY14" i="88"/>
  <c r="AY25" i="88" s="1"/>
  <c r="AX14" i="88"/>
  <c r="AX25" i="88" s="1"/>
  <c r="AW14" i="88"/>
  <c r="AW48" i="88" s="1"/>
  <c r="AV14" i="88"/>
  <c r="AU14" i="88"/>
  <c r="AU25" i="88" s="1"/>
  <c r="AT14" i="88"/>
  <c r="AT25" i="88" s="1"/>
  <c r="AS14" i="88"/>
  <c r="AS48" i="88" s="1"/>
  <c r="AR14" i="88"/>
  <c r="AQ14" i="88"/>
  <c r="AP14" i="88"/>
  <c r="AO14" i="88"/>
  <c r="AO48" i="88" s="1"/>
  <c r="AN14" i="88"/>
  <c r="AM14" i="88"/>
  <c r="AL14" i="88"/>
  <c r="AK14" i="88"/>
  <c r="AK48" i="88" s="1"/>
  <c r="AJ14" i="88"/>
  <c r="AI14" i="88"/>
  <c r="AH14" i="88"/>
  <c r="AG14" i="88"/>
  <c r="AG48" i="88" s="1"/>
  <c r="AF14" i="88"/>
  <c r="AE14" i="88"/>
  <c r="AD14" i="88"/>
  <c r="AC14" i="88"/>
  <c r="AC48" i="88" s="1"/>
  <c r="AB14" i="88"/>
  <c r="AA14" i="88"/>
  <c r="Z14" i="88"/>
  <c r="Y14" i="88"/>
  <c r="Y48" i="88" s="1"/>
  <c r="X14" i="88"/>
  <c r="W14" i="88"/>
  <c r="V14" i="88"/>
  <c r="U14" i="88"/>
  <c r="U48" i="88" s="1"/>
  <c r="T14" i="88"/>
  <c r="S14" i="88"/>
  <c r="S48" i="88" s="1"/>
  <c r="R14" i="88"/>
  <c r="R48" i="88" s="1"/>
  <c r="Q14" i="88"/>
  <c r="Q48" i="88" s="1"/>
  <c r="P14" i="88"/>
  <c r="P48" i="88" s="1"/>
  <c r="O14" i="88"/>
  <c r="O48" i="88" s="1"/>
  <c r="N14" i="88"/>
  <c r="N48" i="88" s="1"/>
  <c r="M14" i="88"/>
  <c r="M48" i="88" s="1"/>
  <c r="L14" i="88"/>
  <c r="L48" i="88" s="1"/>
  <c r="K14" i="88"/>
  <c r="K48" i="88" s="1"/>
  <c r="J14" i="88"/>
  <c r="J48" i="88" s="1"/>
  <c r="I14" i="88"/>
  <c r="I48" i="88" s="1"/>
  <c r="H14" i="88"/>
  <c r="H48" i="88" s="1"/>
  <c r="G14" i="88"/>
  <c r="G48" i="88" s="1"/>
  <c r="CL13" i="88"/>
  <c r="CK13" i="88"/>
  <c r="CJ13" i="88"/>
  <c r="CJ24" i="88" s="1"/>
  <c r="CI13" i="88"/>
  <c r="CH13" i="88"/>
  <c r="CG13" i="88"/>
  <c r="CF13" i="88"/>
  <c r="CF24" i="88" s="1"/>
  <c r="CE13" i="88"/>
  <c r="CD13" i="88"/>
  <c r="CC13" i="88"/>
  <c r="CB13" i="88"/>
  <c r="CB24" i="88" s="1"/>
  <c r="CA13" i="88"/>
  <c r="BZ13" i="88"/>
  <c r="BY13" i="88"/>
  <c r="BX13" i="88"/>
  <c r="BX24" i="88" s="1"/>
  <c r="BW13" i="88"/>
  <c r="BV13" i="88"/>
  <c r="BU13" i="88"/>
  <c r="BT13" i="88"/>
  <c r="BT24" i="88" s="1"/>
  <c r="BS13" i="88"/>
  <c r="BR13" i="88"/>
  <c r="BQ13" i="88"/>
  <c r="BP13" i="88"/>
  <c r="BP24" i="88" s="1"/>
  <c r="BO13" i="88"/>
  <c r="BO30" i="88" s="1"/>
  <c r="BN13" i="88"/>
  <c r="BM13" i="88"/>
  <c r="BL13" i="88"/>
  <c r="BL24" i="88" s="1"/>
  <c r="BK13" i="88"/>
  <c r="BJ13" i="88"/>
  <c r="BI13" i="88"/>
  <c r="BH13" i="88"/>
  <c r="BH24" i="88" s="1"/>
  <c r="BG13" i="88"/>
  <c r="BF13" i="88"/>
  <c r="BE13" i="88"/>
  <c r="BD13" i="88"/>
  <c r="BD24" i="88" s="1"/>
  <c r="BC13" i="88"/>
  <c r="BB13" i="88"/>
  <c r="BA13" i="88"/>
  <c r="AZ13" i="88"/>
  <c r="AZ24" i="88" s="1"/>
  <c r="AY13" i="88"/>
  <c r="AX13" i="88"/>
  <c r="AW13" i="88"/>
  <c r="AV13" i="88"/>
  <c r="AV24" i="88" s="1"/>
  <c r="AU13" i="88"/>
  <c r="AT13" i="88"/>
  <c r="AS13" i="88"/>
  <c r="AR13" i="88"/>
  <c r="AR24" i="88" s="1"/>
  <c r="AQ13" i="88"/>
  <c r="AP13" i="88"/>
  <c r="AO13" i="88"/>
  <c r="AN13" i="88"/>
  <c r="AN24" i="88" s="1"/>
  <c r="AM13" i="88"/>
  <c r="AL13" i="88"/>
  <c r="AK13" i="88"/>
  <c r="AJ13" i="88"/>
  <c r="AJ24" i="88" s="1"/>
  <c r="AI13" i="88"/>
  <c r="AI30" i="88" s="1"/>
  <c r="AH13" i="88"/>
  <c r="AG13" i="88"/>
  <c r="AF13" i="88"/>
  <c r="AF24" i="88" s="1"/>
  <c r="AE13" i="88"/>
  <c r="AD13" i="88"/>
  <c r="AC13" i="88"/>
  <c r="AB13" i="88"/>
  <c r="AB24" i="88" s="1"/>
  <c r="AA13" i="88"/>
  <c r="Z13" i="88"/>
  <c r="Y13" i="88"/>
  <c r="X13" i="88"/>
  <c r="X24" i="88" s="1"/>
  <c r="W13" i="88"/>
  <c r="V13" i="88"/>
  <c r="U13" i="88"/>
  <c r="T13" i="88"/>
  <c r="T24" i="88" s="1"/>
  <c r="S13" i="88"/>
  <c r="S47" i="88" s="1"/>
  <c r="R13" i="88"/>
  <c r="R47" i="88" s="1"/>
  <c r="Q13" i="88"/>
  <c r="Q47" i="88" s="1"/>
  <c r="P13" i="88"/>
  <c r="P47" i="88" s="1"/>
  <c r="O13" i="88"/>
  <c r="O47" i="88" s="1"/>
  <c r="N13" i="88"/>
  <c r="N47" i="88" s="1"/>
  <c r="M13" i="88"/>
  <c r="M47" i="88" s="1"/>
  <c r="L13" i="88"/>
  <c r="L47" i="88" s="1"/>
  <c r="K13" i="88"/>
  <c r="K47" i="88" s="1"/>
  <c r="J13" i="88"/>
  <c r="J47" i="88" s="1"/>
  <c r="I13" i="88"/>
  <c r="I47" i="88" s="1"/>
  <c r="H13" i="88"/>
  <c r="H47" i="88" s="1"/>
  <c r="G13" i="88"/>
  <c r="G47" i="88" s="1"/>
  <c r="CL12" i="88"/>
  <c r="CL16" i="88" s="1"/>
  <c r="CK12" i="88"/>
  <c r="CK46" i="88" s="1"/>
  <c r="CJ12" i="88"/>
  <c r="CJ29" i="88" s="1"/>
  <c r="CI12" i="88"/>
  <c r="CH12" i="88"/>
  <c r="CG12" i="88"/>
  <c r="CG46" i="88" s="1"/>
  <c r="CF12" i="88"/>
  <c r="CF22" i="88" s="1"/>
  <c r="CE12" i="88"/>
  <c r="CD12" i="88"/>
  <c r="CC12" i="88"/>
  <c r="CC46" i="88" s="1"/>
  <c r="CB12" i="88"/>
  <c r="CB22" i="88" s="1"/>
  <c r="CA12" i="88"/>
  <c r="BZ12" i="88"/>
  <c r="BY12" i="88"/>
  <c r="BY46" i="88" s="1"/>
  <c r="BX12" i="88"/>
  <c r="BX22" i="88" s="1"/>
  <c r="BW12" i="88"/>
  <c r="BV12" i="88"/>
  <c r="BV16" i="88" s="1"/>
  <c r="BU12" i="88"/>
  <c r="BU46" i="88" s="1"/>
  <c r="BT12" i="88"/>
  <c r="BT29" i="88" s="1"/>
  <c r="BS12" i="88"/>
  <c r="BR12" i="88"/>
  <c r="BQ12" i="88"/>
  <c r="BQ46" i="88" s="1"/>
  <c r="BP12" i="88"/>
  <c r="BP22" i="88" s="1"/>
  <c r="BO12" i="88"/>
  <c r="BN12" i="88"/>
  <c r="BM12" i="88"/>
  <c r="BM46" i="88" s="1"/>
  <c r="BL12" i="88"/>
  <c r="BL22" i="88" s="1"/>
  <c r="BK12" i="88"/>
  <c r="BJ12" i="88"/>
  <c r="BI12" i="88"/>
  <c r="BI46" i="88" s="1"/>
  <c r="BH12" i="88"/>
  <c r="BH22" i="88" s="1"/>
  <c r="BG12" i="88"/>
  <c r="BF12" i="88"/>
  <c r="BF16" i="88" s="1"/>
  <c r="BE12" i="88"/>
  <c r="BE46" i="88" s="1"/>
  <c r="BD12" i="88"/>
  <c r="BD29" i="88" s="1"/>
  <c r="BC12" i="88"/>
  <c r="BB12" i="88"/>
  <c r="BA12" i="88"/>
  <c r="BA46" i="88" s="1"/>
  <c r="AZ12" i="88"/>
  <c r="AZ22" i="88" s="1"/>
  <c r="AY12" i="88"/>
  <c r="AX12" i="88"/>
  <c r="AW12" i="88"/>
  <c r="AW46" i="88" s="1"/>
  <c r="AV12" i="88"/>
  <c r="AV22" i="88" s="1"/>
  <c r="AU12" i="88"/>
  <c r="AT12" i="88"/>
  <c r="AS12" i="88"/>
  <c r="AS46" i="88" s="1"/>
  <c r="AR12" i="88"/>
  <c r="AR22" i="88" s="1"/>
  <c r="AQ12" i="88"/>
  <c r="AP12" i="88"/>
  <c r="AP16" i="88" s="1"/>
  <c r="AO12" i="88"/>
  <c r="AO46" i="88" s="1"/>
  <c r="AN12" i="88"/>
  <c r="AN29" i="88" s="1"/>
  <c r="AM12" i="88"/>
  <c r="AL12" i="88"/>
  <c r="AK12" i="88"/>
  <c r="AK46" i="88" s="1"/>
  <c r="AJ12" i="88"/>
  <c r="AJ22" i="88" s="1"/>
  <c r="AI12" i="88"/>
  <c r="AH12" i="88"/>
  <c r="AG12" i="88"/>
  <c r="AG46" i="88" s="1"/>
  <c r="AF12" i="88"/>
  <c r="AF22" i="88" s="1"/>
  <c r="AE12" i="88"/>
  <c r="AD12" i="88"/>
  <c r="AC12" i="88"/>
  <c r="AC46" i="88" s="1"/>
  <c r="AB12" i="88"/>
  <c r="AB22" i="88" s="1"/>
  <c r="AA12" i="88"/>
  <c r="Z12" i="88"/>
  <c r="Z16" i="88" s="1"/>
  <c r="Y12" i="88"/>
  <c r="Y46" i="88" s="1"/>
  <c r="X12" i="88"/>
  <c r="X29" i="88" s="1"/>
  <c r="W12" i="88"/>
  <c r="V12" i="88"/>
  <c r="U12" i="88"/>
  <c r="U46" i="88" s="1"/>
  <c r="T12" i="88"/>
  <c r="T22" i="88" s="1"/>
  <c r="S12" i="88"/>
  <c r="S46" i="88" s="1"/>
  <c r="R12" i="88"/>
  <c r="Q12" i="88"/>
  <c r="Q46" i="88" s="1"/>
  <c r="P12" i="88"/>
  <c r="P46" i="88" s="1"/>
  <c r="O12" i="88"/>
  <c r="O46" i="88" s="1"/>
  <c r="N12" i="88"/>
  <c r="M12" i="88"/>
  <c r="M46" i="88" s="1"/>
  <c r="L12" i="88"/>
  <c r="L46" i="88" s="1"/>
  <c r="K12" i="88"/>
  <c r="K46" i="88" s="1"/>
  <c r="J12" i="88"/>
  <c r="J16" i="88" s="1"/>
  <c r="I12" i="88"/>
  <c r="I46" i="88" s="1"/>
  <c r="H12" i="88"/>
  <c r="H21" i="88" s="1"/>
  <c r="G12" i="88"/>
  <c r="G46" i="88" s="1"/>
  <c r="CM11" i="88"/>
  <c r="CM10" i="88"/>
  <c r="CM9" i="88"/>
  <c r="CM8" i="88"/>
  <c r="CM7" i="88"/>
  <c r="CM6" i="88"/>
  <c r="CR5" i="88"/>
  <c r="CQ5" i="88"/>
  <c r="CP5" i="88"/>
  <c r="CO5" i="88"/>
  <c r="CM5" i="88"/>
  <c r="CR4" i="88"/>
  <c r="CQ4" i="88"/>
  <c r="CP4" i="88"/>
  <c r="CO4" i="88"/>
  <c r="CM4" i="88"/>
  <c r="CM3" i="88"/>
  <c r="CM2" i="88"/>
  <c r="CM8" i="72"/>
  <c r="CM9" i="72"/>
  <c r="CM10" i="72"/>
  <c r="CM11" i="72"/>
  <c r="CM7" i="72"/>
  <c r="H22" i="83"/>
  <c r="I22" i="83"/>
  <c r="J22" i="83"/>
  <c r="K22" i="83"/>
  <c r="L22" i="83"/>
  <c r="M22" i="83"/>
  <c r="N22" i="83"/>
  <c r="O22" i="83"/>
  <c r="P22" i="83"/>
  <c r="Q22" i="83"/>
  <c r="R22" i="83"/>
  <c r="S22" i="83"/>
  <c r="T22" i="83"/>
  <c r="U22" i="83"/>
  <c r="V22" i="83"/>
  <c r="W22" i="83"/>
  <c r="X22" i="83"/>
  <c r="Y22" i="83"/>
  <c r="Z22" i="83"/>
  <c r="AA22" i="83"/>
  <c r="AB22" i="83"/>
  <c r="AC22" i="83"/>
  <c r="AD22" i="83"/>
  <c r="AE22" i="83"/>
  <c r="AF22" i="83"/>
  <c r="AG22" i="83"/>
  <c r="AH22" i="83"/>
  <c r="AI22" i="83"/>
  <c r="AJ22" i="83"/>
  <c r="AK22" i="83"/>
  <c r="AL22" i="83"/>
  <c r="AM22" i="83"/>
  <c r="AN22" i="83"/>
  <c r="AO22" i="83"/>
  <c r="AP22" i="83"/>
  <c r="AQ22" i="83"/>
  <c r="AR22" i="83"/>
  <c r="AS22" i="83"/>
  <c r="AT22" i="83"/>
  <c r="AU22" i="83"/>
  <c r="AV22" i="83"/>
  <c r="AW22" i="83"/>
  <c r="AX22" i="83"/>
  <c r="AY22" i="83"/>
  <c r="AZ22" i="83"/>
  <c r="BA22" i="83"/>
  <c r="BB22" i="83"/>
  <c r="BC22" i="83"/>
  <c r="BD22" i="83"/>
  <c r="BE22" i="83"/>
  <c r="BF22" i="83"/>
  <c r="BG22" i="83"/>
  <c r="BH22" i="83"/>
  <c r="BI22" i="83"/>
  <c r="BJ22" i="83"/>
  <c r="BK22" i="83"/>
  <c r="BL22" i="83"/>
  <c r="BM22" i="83"/>
  <c r="BN22" i="83"/>
  <c r="BO22" i="83"/>
  <c r="BP22" i="83"/>
  <c r="BQ22" i="83"/>
  <c r="BR22" i="83"/>
  <c r="BS22" i="83"/>
  <c r="BT22" i="83"/>
  <c r="BU22" i="83"/>
  <c r="BV22" i="83"/>
  <c r="BW22" i="83"/>
  <c r="BX22" i="83"/>
  <c r="BY22" i="83"/>
  <c r="BZ22" i="83"/>
  <c r="CA22" i="83"/>
  <c r="CB22" i="83"/>
  <c r="CC22" i="83"/>
  <c r="CD22" i="83"/>
  <c r="CE22" i="83"/>
  <c r="CF22" i="83"/>
  <c r="CG22" i="83"/>
  <c r="CH22" i="83"/>
  <c r="CI22" i="83"/>
  <c r="CJ22" i="83"/>
  <c r="CK22" i="83"/>
  <c r="CL22" i="83"/>
  <c r="CM22" i="83"/>
  <c r="G22" i="83"/>
  <c r="H21" i="83"/>
  <c r="I21" i="83"/>
  <c r="J21" i="83"/>
  <c r="K21" i="83"/>
  <c r="L21" i="83"/>
  <c r="M21" i="83"/>
  <c r="N21" i="83"/>
  <c r="O21" i="83"/>
  <c r="P21" i="83"/>
  <c r="Q21" i="83"/>
  <c r="R21" i="83"/>
  <c r="S21" i="83"/>
  <c r="T21" i="83"/>
  <c r="U21" i="83"/>
  <c r="V21" i="83"/>
  <c r="W21" i="83"/>
  <c r="X21" i="83"/>
  <c r="Y21" i="83"/>
  <c r="Z21" i="83"/>
  <c r="AA21" i="83"/>
  <c r="AB21" i="83"/>
  <c r="AC21" i="83"/>
  <c r="AD21" i="83"/>
  <c r="AE21" i="83"/>
  <c r="AF21" i="83"/>
  <c r="AG21" i="83"/>
  <c r="AH21" i="83"/>
  <c r="AI21" i="83"/>
  <c r="AJ21" i="83"/>
  <c r="AK21" i="83"/>
  <c r="AL21" i="83"/>
  <c r="AM21" i="83"/>
  <c r="AN21" i="83"/>
  <c r="AO21" i="83"/>
  <c r="AP21" i="83"/>
  <c r="AQ21" i="83"/>
  <c r="AR21" i="83"/>
  <c r="AS21" i="83"/>
  <c r="AT21" i="83"/>
  <c r="AU21" i="83"/>
  <c r="AV21" i="83"/>
  <c r="AW21" i="83"/>
  <c r="AX21" i="83"/>
  <c r="AY21" i="83"/>
  <c r="AZ21" i="83"/>
  <c r="BA21" i="83"/>
  <c r="BB21" i="83"/>
  <c r="BC21" i="83"/>
  <c r="BD21" i="83"/>
  <c r="BE21" i="83"/>
  <c r="BF21" i="83"/>
  <c r="BG21" i="83"/>
  <c r="BH21" i="83"/>
  <c r="BI21" i="83"/>
  <c r="BJ21" i="83"/>
  <c r="BK21" i="83"/>
  <c r="BL21" i="83"/>
  <c r="BM21" i="83"/>
  <c r="BN21" i="83"/>
  <c r="BO21" i="83"/>
  <c r="BP21" i="83"/>
  <c r="BQ21" i="83"/>
  <c r="BR21" i="83"/>
  <c r="BS21" i="83"/>
  <c r="BT21" i="83"/>
  <c r="BU21" i="83"/>
  <c r="BV21" i="83"/>
  <c r="BW21" i="83"/>
  <c r="BX21" i="83"/>
  <c r="BY21" i="83"/>
  <c r="BZ21" i="83"/>
  <c r="CA21" i="83"/>
  <c r="CB21" i="83"/>
  <c r="CC21" i="83"/>
  <c r="CD21" i="83"/>
  <c r="CE21" i="83"/>
  <c r="CF21" i="83"/>
  <c r="CG21" i="83"/>
  <c r="CH21" i="83"/>
  <c r="CI21" i="83"/>
  <c r="CJ21" i="83"/>
  <c r="CK21" i="83"/>
  <c r="CL21" i="83"/>
  <c r="CM21" i="83"/>
  <c r="G21" i="83"/>
  <c r="CL23" i="83"/>
  <c r="CK23" i="83"/>
  <c r="CJ23" i="83"/>
  <c r="CI23" i="83"/>
  <c r="CH23" i="83"/>
  <c r="CG23" i="83"/>
  <c r="CF23" i="83"/>
  <c r="CE23" i="83"/>
  <c r="CD23" i="83"/>
  <c r="CC23" i="83"/>
  <c r="CB23" i="83"/>
  <c r="CA23" i="83"/>
  <c r="BZ23" i="83"/>
  <c r="BY23" i="83"/>
  <c r="BX23" i="83"/>
  <c r="BW23" i="83"/>
  <c r="BV23" i="83"/>
  <c r="BU23" i="83"/>
  <c r="BT23" i="83"/>
  <c r="BS23" i="83"/>
  <c r="BR23" i="83"/>
  <c r="BQ23" i="83"/>
  <c r="BP23" i="83"/>
  <c r="BO23" i="83"/>
  <c r="BN23" i="83"/>
  <c r="BM23" i="83"/>
  <c r="BL23" i="83"/>
  <c r="BK23" i="83"/>
  <c r="BJ23" i="83"/>
  <c r="BI23" i="83"/>
  <c r="BH23" i="83"/>
  <c r="BG23" i="83"/>
  <c r="BF23" i="83"/>
  <c r="BE23" i="83"/>
  <c r="BD23" i="83"/>
  <c r="BC23" i="83"/>
  <c r="BB23" i="83"/>
  <c r="BA23" i="83"/>
  <c r="AZ23" i="83"/>
  <c r="AY23" i="83"/>
  <c r="AX23" i="83"/>
  <c r="AW23" i="83"/>
  <c r="AV23" i="83"/>
  <c r="AU23" i="83"/>
  <c r="AT23" i="83"/>
  <c r="AS23" i="83"/>
  <c r="AR23" i="83"/>
  <c r="AQ23" i="83"/>
  <c r="AP23" i="83"/>
  <c r="AO23" i="83"/>
  <c r="AN23" i="83"/>
  <c r="AM23" i="83"/>
  <c r="AL23" i="83"/>
  <c r="AK23" i="83"/>
  <c r="AJ23" i="83"/>
  <c r="AI23" i="83"/>
  <c r="AH23" i="83"/>
  <c r="AG23" i="83"/>
  <c r="AF23" i="83"/>
  <c r="AE23" i="83"/>
  <c r="AD23" i="83"/>
  <c r="AC23" i="83"/>
  <c r="AB23" i="83"/>
  <c r="AA23" i="83"/>
  <c r="Z23" i="83"/>
  <c r="Y23" i="83"/>
  <c r="X23" i="83"/>
  <c r="W23" i="83"/>
  <c r="V23" i="83"/>
  <c r="U23" i="83"/>
  <c r="T23" i="83"/>
  <c r="S23" i="83"/>
  <c r="R23" i="83"/>
  <c r="Q23" i="83"/>
  <c r="P23" i="83"/>
  <c r="O23" i="83"/>
  <c r="N23" i="83"/>
  <c r="M23" i="83"/>
  <c r="L23" i="83"/>
  <c r="K23" i="83"/>
  <c r="J23" i="83"/>
  <c r="I23" i="83"/>
  <c r="H23" i="83"/>
  <c r="G23" i="83"/>
  <c r="H12" i="83"/>
  <c r="H29" i="83" s="1"/>
  <c r="I12" i="83"/>
  <c r="I29" i="83" s="1"/>
  <c r="J12" i="83"/>
  <c r="J29" i="83" s="1"/>
  <c r="K12" i="83"/>
  <c r="K29" i="83" s="1"/>
  <c r="L12" i="83"/>
  <c r="L29" i="83" s="1"/>
  <c r="M12" i="83"/>
  <c r="M29" i="83" s="1"/>
  <c r="N12" i="83"/>
  <c r="N29" i="83" s="1"/>
  <c r="O12" i="83"/>
  <c r="O29" i="83" s="1"/>
  <c r="P12" i="83"/>
  <c r="P29" i="83" s="1"/>
  <c r="Q12" i="83"/>
  <c r="Q29" i="83" s="1"/>
  <c r="R12" i="83"/>
  <c r="R29" i="83" s="1"/>
  <c r="S12" i="83"/>
  <c r="S29" i="83" s="1"/>
  <c r="T12" i="83"/>
  <c r="T29" i="83" s="1"/>
  <c r="U12" i="83"/>
  <c r="U29" i="83" s="1"/>
  <c r="V12" i="83"/>
  <c r="V29" i="83" s="1"/>
  <c r="W12" i="83"/>
  <c r="W29" i="83" s="1"/>
  <c r="X12" i="83"/>
  <c r="X29" i="83" s="1"/>
  <c r="Y12" i="83"/>
  <c r="Y29" i="83" s="1"/>
  <c r="Z12" i="83"/>
  <c r="Z29" i="83" s="1"/>
  <c r="AA12" i="83"/>
  <c r="AA29" i="83" s="1"/>
  <c r="AB12" i="83"/>
  <c r="AB29" i="83" s="1"/>
  <c r="AC12" i="83"/>
  <c r="AC29" i="83" s="1"/>
  <c r="AD12" i="83"/>
  <c r="AD29" i="83" s="1"/>
  <c r="AE12" i="83"/>
  <c r="AE29" i="83" s="1"/>
  <c r="AF12" i="83"/>
  <c r="AF29" i="83" s="1"/>
  <c r="AG12" i="83"/>
  <c r="AG29" i="83" s="1"/>
  <c r="AH12" i="83"/>
  <c r="AH29" i="83" s="1"/>
  <c r="AI12" i="83"/>
  <c r="AI29" i="83" s="1"/>
  <c r="AJ12" i="83"/>
  <c r="AJ29" i="83" s="1"/>
  <c r="AK12" i="83"/>
  <c r="AK29" i="83" s="1"/>
  <c r="AL12" i="83"/>
  <c r="AL29" i="83" s="1"/>
  <c r="AM12" i="83"/>
  <c r="AM29" i="83" s="1"/>
  <c r="AN12" i="83"/>
  <c r="AN29" i="83" s="1"/>
  <c r="AO12" i="83"/>
  <c r="AO29" i="83" s="1"/>
  <c r="AP12" i="83"/>
  <c r="AP29" i="83" s="1"/>
  <c r="AQ12" i="83"/>
  <c r="AQ29" i="83" s="1"/>
  <c r="AR12" i="83"/>
  <c r="AR29" i="83" s="1"/>
  <c r="AS12" i="83"/>
  <c r="AS29" i="83" s="1"/>
  <c r="AT12" i="83"/>
  <c r="AT29" i="83" s="1"/>
  <c r="AU12" i="83"/>
  <c r="AU29" i="83" s="1"/>
  <c r="AV12" i="83"/>
  <c r="AV29" i="83" s="1"/>
  <c r="AW12" i="83"/>
  <c r="AW29" i="83" s="1"/>
  <c r="AX12" i="83"/>
  <c r="AX29" i="83" s="1"/>
  <c r="AY12" i="83"/>
  <c r="AY29" i="83" s="1"/>
  <c r="AZ12" i="83"/>
  <c r="AZ29" i="83" s="1"/>
  <c r="BA12" i="83"/>
  <c r="BA29" i="83" s="1"/>
  <c r="BB12" i="83"/>
  <c r="BB29" i="83" s="1"/>
  <c r="BC12" i="83"/>
  <c r="BC29" i="83" s="1"/>
  <c r="BD12" i="83"/>
  <c r="BD29" i="83" s="1"/>
  <c r="BE12" i="83"/>
  <c r="BE29" i="83" s="1"/>
  <c r="BF12" i="83"/>
  <c r="BF29" i="83" s="1"/>
  <c r="BG12" i="83"/>
  <c r="BG29" i="83" s="1"/>
  <c r="BH12" i="83"/>
  <c r="BH29" i="83" s="1"/>
  <c r="BI12" i="83"/>
  <c r="BI29" i="83" s="1"/>
  <c r="BJ12" i="83"/>
  <c r="BJ29" i="83" s="1"/>
  <c r="BK12" i="83"/>
  <c r="BK29" i="83" s="1"/>
  <c r="BL12" i="83"/>
  <c r="BL29" i="83" s="1"/>
  <c r="BM12" i="83"/>
  <c r="BM29" i="83" s="1"/>
  <c r="BN12" i="83"/>
  <c r="BN29" i="83" s="1"/>
  <c r="BO12" i="83"/>
  <c r="BO29" i="83" s="1"/>
  <c r="BP12" i="83"/>
  <c r="BP29" i="83" s="1"/>
  <c r="BQ12" i="83"/>
  <c r="BQ29" i="83" s="1"/>
  <c r="BR12" i="83"/>
  <c r="BR29" i="83" s="1"/>
  <c r="BS12" i="83"/>
  <c r="BS29" i="83" s="1"/>
  <c r="BT12" i="83"/>
  <c r="BT29" i="83" s="1"/>
  <c r="BU12" i="83"/>
  <c r="BU29" i="83" s="1"/>
  <c r="BV12" i="83"/>
  <c r="BV29" i="83" s="1"/>
  <c r="BW12" i="83"/>
  <c r="BW29" i="83" s="1"/>
  <c r="BX12" i="83"/>
  <c r="BX29" i="83" s="1"/>
  <c r="BY12" i="83"/>
  <c r="BY29" i="83" s="1"/>
  <c r="BZ12" i="83"/>
  <c r="BZ29" i="83" s="1"/>
  <c r="CA12" i="83"/>
  <c r="CA29" i="83" s="1"/>
  <c r="CB12" i="83"/>
  <c r="CB29" i="83" s="1"/>
  <c r="CC12" i="83"/>
  <c r="CC29" i="83" s="1"/>
  <c r="CD12" i="83"/>
  <c r="CD29" i="83" s="1"/>
  <c r="CE12" i="83"/>
  <c r="CE29" i="83" s="1"/>
  <c r="CF12" i="83"/>
  <c r="CF29" i="83" s="1"/>
  <c r="CG12" i="83"/>
  <c r="CG29" i="83" s="1"/>
  <c r="CH12" i="83"/>
  <c r="CH29" i="83" s="1"/>
  <c r="CI12" i="83"/>
  <c r="CI29" i="83" s="1"/>
  <c r="CJ12" i="83"/>
  <c r="CJ29" i="83" s="1"/>
  <c r="CK12" i="83"/>
  <c r="CK29" i="83" s="1"/>
  <c r="CL12" i="83"/>
  <c r="CL29" i="83" s="1"/>
  <c r="CM12" i="83"/>
  <c r="CM29" i="83" s="1"/>
  <c r="H13" i="83"/>
  <c r="H30" i="83" s="1"/>
  <c r="I13" i="83"/>
  <c r="I30" i="83" s="1"/>
  <c r="J13" i="83"/>
  <c r="J30" i="83" s="1"/>
  <c r="K13" i="83"/>
  <c r="L13" i="83"/>
  <c r="L30" i="83" s="1"/>
  <c r="M13" i="83"/>
  <c r="M30" i="83" s="1"/>
  <c r="N13" i="83"/>
  <c r="N30" i="83" s="1"/>
  <c r="O13" i="83"/>
  <c r="P13" i="83"/>
  <c r="P30" i="83" s="1"/>
  <c r="Q13" i="83"/>
  <c r="Q30" i="83" s="1"/>
  <c r="R13" i="83"/>
  <c r="R30" i="83" s="1"/>
  <c r="S13" i="83"/>
  <c r="T13" i="83"/>
  <c r="T30" i="83" s="1"/>
  <c r="U13" i="83"/>
  <c r="U30" i="83" s="1"/>
  <c r="V13" i="83"/>
  <c r="V30" i="83" s="1"/>
  <c r="W13" i="83"/>
  <c r="X13" i="83"/>
  <c r="X30" i="83" s="1"/>
  <c r="Y13" i="83"/>
  <c r="Y30" i="83" s="1"/>
  <c r="Z13" i="83"/>
  <c r="Z30" i="83" s="1"/>
  <c r="AA13" i="83"/>
  <c r="AB13" i="83"/>
  <c r="AB30" i="83" s="1"/>
  <c r="AC13" i="83"/>
  <c r="AC30" i="83" s="1"/>
  <c r="AD13" i="83"/>
  <c r="AD30" i="83" s="1"/>
  <c r="AE13" i="83"/>
  <c r="AF13" i="83"/>
  <c r="AG13" i="83"/>
  <c r="AH13" i="83"/>
  <c r="AI13" i="83"/>
  <c r="AJ13" i="83"/>
  <c r="AK13" i="83"/>
  <c r="AL13" i="83"/>
  <c r="AM13" i="83"/>
  <c r="AN13" i="83"/>
  <c r="AO13" i="83"/>
  <c r="AP13" i="83"/>
  <c r="AQ13" i="83"/>
  <c r="AR13" i="83"/>
  <c r="AS13" i="83"/>
  <c r="AT13" i="83"/>
  <c r="AU13" i="83"/>
  <c r="AV13" i="83"/>
  <c r="AW13" i="83"/>
  <c r="AX13" i="83"/>
  <c r="AY13" i="83"/>
  <c r="AZ13" i="83"/>
  <c r="BA13" i="83"/>
  <c r="BB13" i="83"/>
  <c r="BC13" i="83"/>
  <c r="BD13" i="83"/>
  <c r="BE13" i="83"/>
  <c r="BF13" i="83"/>
  <c r="BG13" i="83"/>
  <c r="BH13" i="83"/>
  <c r="BI13" i="83"/>
  <c r="BJ13" i="83"/>
  <c r="BK13" i="83"/>
  <c r="BL13" i="83"/>
  <c r="BM13" i="83"/>
  <c r="BN13" i="83"/>
  <c r="BO13" i="83"/>
  <c r="BP13" i="83"/>
  <c r="BQ13" i="83"/>
  <c r="BR13" i="83"/>
  <c r="BS13" i="83"/>
  <c r="BT13" i="83"/>
  <c r="BU13" i="83"/>
  <c r="BV13" i="83"/>
  <c r="BW13" i="83"/>
  <c r="BX13" i="83"/>
  <c r="BY13" i="83"/>
  <c r="BZ13" i="83"/>
  <c r="CA13" i="83"/>
  <c r="CB13" i="83"/>
  <c r="CC13" i="83"/>
  <c r="CD13" i="83"/>
  <c r="CE13" i="83"/>
  <c r="CF13" i="83"/>
  <c r="CG13" i="83"/>
  <c r="CH13" i="83"/>
  <c r="CI13" i="83"/>
  <c r="CJ13" i="83"/>
  <c r="CK13" i="83"/>
  <c r="CL13" i="83"/>
  <c r="CM13" i="83"/>
  <c r="H14" i="83"/>
  <c r="H48" i="83" s="1"/>
  <c r="I14" i="83"/>
  <c r="J14" i="83"/>
  <c r="J48" i="83" s="1"/>
  <c r="K14" i="83"/>
  <c r="L14" i="83"/>
  <c r="M14" i="83"/>
  <c r="M48" i="83" s="1"/>
  <c r="N14" i="83"/>
  <c r="O14" i="83"/>
  <c r="P14" i="83"/>
  <c r="P48" i="83" s="1"/>
  <c r="Q14" i="83"/>
  <c r="R14" i="83"/>
  <c r="R48" i="83" s="1"/>
  <c r="S14" i="83"/>
  <c r="T14" i="83"/>
  <c r="U14" i="83"/>
  <c r="V14" i="83"/>
  <c r="W14" i="83"/>
  <c r="X14" i="83"/>
  <c r="Y14" i="83"/>
  <c r="Z14" i="83"/>
  <c r="AA14" i="83"/>
  <c r="AB14" i="83"/>
  <c r="AC14" i="83"/>
  <c r="AD14" i="83"/>
  <c r="AE14" i="83"/>
  <c r="AF14" i="83"/>
  <c r="AG14" i="83"/>
  <c r="AH14" i="83"/>
  <c r="AI14" i="83"/>
  <c r="AJ14" i="83"/>
  <c r="AK14" i="83"/>
  <c r="AL14" i="83"/>
  <c r="AM14" i="83"/>
  <c r="AN14" i="83"/>
  <c r="AO14" i="83"/>
  <c r="AP14" i="83"/>
  <c r="AQ14" i="83"/>
  <c r="AR14" i="83"/>
  <c r="AS14" i="83"/>
  <c r="AT14" i="83"/>
  <c r="AU14" i="83"/>
  <c r="AV14" i="83"/>
  <c r="AW14" i="83"/>
  <c r="AX14" i="83"/>
  <c r="AY14" i="83"/>
  <c r="AZ14" i="83"/>
  <c r="BA14" i="83"/>
  <c r="BB14" i="83"/>
  <c r="BC14" i="83"/>
  <c r="BD14" i="83"/>
  <c r="BE14" i="83"/>
  <c r="BF14" i="83"/>
  <c r="BG14" i="83"/>
  <c r="BH14" i="83"/>
  <c r="BI14" i="83"/>
  <c r="BJ14" i="83"/>
  <c r="BK14" i="83"/>
  <c r="BL14" i="83"/>
  <c r="BM14" i="83"/>
  <c r="BN14" i="83"/>
  <c r="BO14" i="83"/>
  <c r="BP14" i="83"/>
  <c r="BQ14" i="83"/>
  <c r="BR14" i="83"/>
  <c r="BS14" i="83"/>
  <c r="BT14" i="83"/>
  <c r="BU14" i="83"/>
  <c r="BV14" i="83"/>
  <c r="BW14" i="83"/>
  <c r="BX14" i="83"/>
  <c r="BY14" i="83"/>
  <c r="BZ14" i="83"/>
  <c r="CA14" i="83"/>
  <c r="CB14" i="83"/>
  <c r="CC14" i="83"/>
  <c r="CD14" i="83"/>
  <c r="CE14" i="83"/>
  <c r="CF14" i="83"/>
  <c r="CG14" i="83"/>
  <c r="CH14" i="83"/>
  <c r="CI14" i="83"/>
  <c r="CJ14" i="83"/>
  <c r="CK14" i="83"/>
  <c r="CL14" i="83"/>
  <c r="CM14" i="83"/>
  <c r="H15" i="83"/>
  <c r="I15" i="83"/>
  <c r="I49" i="83" s="1"/>
  <c r="J15" i="83"/>
  <c r="K15" i="83"/>
  <c r="L15" i="83"/>
  <c r="L49" i="83" s="1"/>
  <c r="M15" i="83"/>
  <c r="M49" i="83" s="1"/>
  <c r="N15" i="83"/>
  <c r="N49" i="83" s="1"/>
  <c r="O15" i="83"/>
  <c r="P15" i="83"/>
  <c r="Q15" i="83"/>
  <c r="Q49" i="83" s="1"/>
  <c r="R15" i="83"/>
  <c r="S15" i="83"/>
  <c r="T15" i="83"/>
  <c r="U15" i="83"/>
  <c r="V15" i="83"/>
  <c r="W15" i="83"/>
  <c r="X15" i="83"/>
  <c r="Y15" i="83"/>
  <c r="Z15" i="83"/>
  <c r="AA15" i="83"/>
  <c r="AB15" i="83"/>
  <c r="AC15" i="83"/>
  <c r="AD15" i="83"/>
  <c r="AE15" i="83"/>
  <c r="AF15" i="83"/>
  <c r="AG15" i="83"/>
  <c r="AH15" i="83"/>
  <c r="AI15" i="83"/>
  <c r="AJ15" i="83"/>
  <c r="AK15" i="83"/>
  <c r="AL15" i="83"/>
  <c r="AM15" i="83"/>
  <c r="AN15" i="83"/>
  <c r="AO15" i="83"/>
  <c r="AP15" i="83"/>
  <c r="AQ15" i="83"/>
  <c r="AR15" i="83"/>
  <c r="AS15" i="83"/>
  <c r="AT15" i="83"/>
  <c r="AU15" i="83"/>
  <c r="AV15" i="83"/>
  <c r="AW15" i="83"/>
  <c r="AX15" i="83"/>
  <c r="AY15" i="83"/>
  <c r="AZ15" i="83"/>
  <c r="BA15" i="83"/>
  <c r="BB15" i="83"/>
  <c r="BC15" i="83"/>
  <c r="BD15" i="83"/>
  <c r="BE15" i="83"/>
  <c r="BF15" i="83"/>
  <c r="BG15" i="83"/>
  <c r="BH15" i="83"/>
  <c r="BI15" i="83"/>
  <c r="BJ15" i="83"/>
  <c r="BK15" i="83"/>
  <c r="BL15" i="83"/>
  <c r="BM15" i="83"/>
  <c r="BN15" i="83"/>
  <c r="BO15" i="83"/>
  <c r="BP15" i="83"/>
  <c r="BQ15" i="83"/>
  <c r="BR15" i="83"/>
  <c r="BS15" i="83"/>
  <c r="BT15" i="83"/>
  <c r="BU15" i="83"/>
  <c r="BV15" i="83"/>
  <c r="BW15" i="83"/>
  <c r="BX15" i="83"/>
  <c r="BY15" i="83"/>
  <c r="BZ15" i="83"/>
  <c r="CA15" i="83"/>
  <c r="CB15" i="83"/>
  <c r="CC15" i="83"/>
  <c r="CD15" i="83"/>
  <c r="CE15" i="83"/>
  <c r="CF15" i="83"/>
  <c r="CG15" i="83"/>
  <c r="CH15" i="83"/>
  <c r="CI15" i="83"/>
  <c r="CJ15" i="83"/>
  <c r="CK15" i="83"/>
  <c r="CL15" i="83"/>
  <c r="CM15" i="83"/>
  <c r="G15" i="83"/>
  <c r="G14" i="83"/>
  <c r="G13" i="83"/>
  <c r="G12" i="83"/>
  <c r="G29" i="83" s="1"/>
  <c r="CM72" i="83"/>
  <c r="CM71" i="83"/>
  <c r="CM70" i="83"/>
  <c r="FU41" i="83"/>
  <c r="FT41" i="83"/>
  <c r="FS41" i="83"/>
  <c r="FR41" i="83"/>
  <c r="FQ41" i="83"/>
  <c r="FP41" i="83"/>
  <c r="FO41" i="83"/>
  <c r="FN41" i="83"/>
  <c r="FM41" i="83"/>
  <c r="FL41" i="83"/>
  <c r="FK41" i="83"/>
  <c r="FJ41" i="83"/>
  <c r="FI41" i="83"/>
  <c r="FH41" i="83"/>
  <c r="FG41" i="83"/>
  <c r="FF41" i="83"/>
  <c r="FE41" i="83"/>
  <c r="FD41" i="83"/>
  <c r="FC41" i="83"/>
  <c r="FB41" i="83"/>
  <c r="FA41" i="83"/>
  <c r="EZ41" i="83"/>
  <c r="EY41" i="83"/>
  <c r="EX41" i="83"/>
  <c r="EW41" i="83"/>
  <c r="EV41" i="83"/>
  <c r="EU41" i="83"/>
  <c r="ET41" i="83"/>
  <c r="ES41" i="83"/>
  <c r="ER41" i="83"/>
  <c r="EQ41" i="83"/>
  <c r="EP41" i="83"/>
  <c r="EO41" i="83"/>
  <c r="EN41" i="83"/>
  <c r="EM41" i="83"/>
  <c r="EL41" i="83"/>
  <c r="EK41" i="83"/>
  <c r="EJ41" i="83"/>
  <c r="EI41" i="83"/>
  <c r="EH41" i="83"/>
  <c r="EG41" i="83"/>
  <c r="EF41" i="83"/>
  <c r="EE41" i="83"/>
  <c r="ED41" i="83"/>
  <c r="EC41" i="83"/>
  <c r="EB41" i="83"/>
  <c r="EA41" i="83"/>
  <c r="DZ41" i="83"/>
  <c r="DY41" i="83"/>
  <c r="DX41" i="83"/>
  <c r="DW41" i="83"/>
  <c r="DV41" i="83"/>
  <c r="DU41" i="83"/>
  <c r="DT41" i="83"/>
  <c r="DS41" i="83"/>
  <c r="DR41" i="83"/>
  <c r="DQ41" i="83"/>
  <c r="DP41" i="83"/>
  <c r="DO41" i="83"/>
  <c r="DN41" i="83"/>
  <c r="DM41" i="83"/>
  <c r="DL41" i="83"/>
  <c r="DK41" i="83"/>
  <c r="DJ41" i="83"/>
  <c r="DI41" i="83"/>
  <c r="DH41" i="83"/>
  <c r="DG41" i="83"/>
  <c r="DF41" i="83"/>
  <c r="DE41" i="83"/>
  <c r="DD41" i="83"/>
  <c r="DC41" i="83"/>
  <c r="DB41" i="83"/>
  <c r="DA41" i="83"/>
  <c r="CZ41" i="83"/>
  <c r="CY41" i="83"/>
  <c r="CX41" i="83"/>
  <c r="CW41" i="83"/>
  <c r="CV41" i="83"/>
  <c r="CU41" i="83"/>
  <c r="CT41" i="83"/>
  <c r="CS41" i="83"/>
  <c r="CR41" i="83"/>
  <c r="CQ41" i="83"/>
  <c r="CP41" i="83"/>
  <c r="CO41" i="83"/>
  <c r="FV40" i="83"/>
  <c r="FV39" i="83"/>
  <c r="FV38" i="83"/>
  <c r="FV37" i="83"/>
  <c r="FV36" i="83"/>
  <c r="FV35" i="83"/>
  <c r="FV34" i="83"/>
  <c r="D33" i="83"/>
  <c r="F22" i="83"/>
  <c r="F21" i="83"/>
  <c r="F20" i="83"/>
  <c r="F19" i="83"/>
  <c r="F18" i="83"/>
  <c r="R49" i="83"/>
  <c r="P49" i="83"/>
  <c r="J49" i="83"/>
  <c r="H49" i="83"/>
  <c r="Q48" i="83"/>
  <c r="N48" i="83"/>
  <c r="L48" i="83"/>
  <c r="I48" i="83"/>
  <c r="R47" i="83"/>
  <c r="P47" i="83"/>
  <c r="M47" i="83"/>
  <c r="J47" i="83"/>
  <c r="H47" i="83"/>
  <c r="CM11" i="83"/>
  <c r="CM10" i="83"/>
  <c r="CM9" i="83"/>
  <c r="CM8" i="83"/>
  <c r="CM7" i="83"/>
  <c r="CM6" i="83"/>
  <c r="CM5" i="83"/>
  <c r="CM4" i="83"/>
  <c r="CM3" i="83"/>
  <c r="CM2" i="83"/>
  <c r="I47" i="83" l="1"/>
  <c r="Q47" i="83"/>
  <c r="N47" i="83"/>
  <c r="AA18" i="88"/>
  <c r="AI22" i="88"/>
  <c r="AQ18" i="88"/>
  <c r="AY22" i="88"/>
  <c r="BG18" i="88"/>
  <c r="BO22" i="88"/>
  <c r="BW18" i="88"/>
  <c r="CE22" i="88"/>
  <c r="AM20" i="88"/>
  <c r="N16" i="88"/>
  <c r="AD16" i="88"/>
  <c r="AT16" i="88"/>
  <c r="BJ16" i="88"/>
  <c r="BZ16" i="88"/>
  <c r="BZ43" i="88" s="1"/>
  <c r="BZ61" i="88" s="1"/>
  <c r="L47" i="83"/>
  <c r="W20" i="88"/>
  <c r="BC20" i="88"/>
  <c r="BS20" i="88"/>
  <c r="CI20" i="88"/>
  <c r="BT46" i="88"/>
  <c r="CG17" i="88"/>
  <c r="BI21" i="88"/>
  <c r="BY25" i="88"/>
  <c r="CK26" i="88"/>
  <c r="CC29" i="88"/>
  <c r="CC31" i="88"/>
  <c r="BU32" i="88"/>
  <c r="AK17" i="88"/>
  <c r="AG19" i="88"/>
  <c r="M21" i="88"/>
  <c r="BY21" i="88"/>
  <c r="BI25" i="88"/>
  <c r="AK26" i="88"/>
  <c r="BQ26" i="88"/>
  <c r="AG29" i="88"/>
  <c r="AG31" i="88"/>
  <c r="Y32" i="88"/>
  <c r="CK32" i="88"/>
  <c r="U17" i="88"/>
  <c r="W22" i="88"/>
  <c r="AA22" i="88"/>
  <c r="AE20" i="88"/>
  <c r="AI18" i="88"/>
  <c r="AM22" i="88"/>
  <c r="AQ22" i="88"/>
  <c r="AU20" i="88"/>
  <c r="AY18" i="88"/>
  <c r="BC22" i="88"/>
  <c r="BG22" i="88"/>
  <c r="BK20" i="88"/>
  <c r="BO18" i="88"/>
  <c r="BS22" i="88"/>
  <c r="BW22" i="88"/>
  <c r="CA20" i="88"/>
  <c r="CE18" i="88"/>
  <c r="CI22" i="88"/>
  <c r="BA17" i="88"/>
  <c r="K18" i="88"/>
  <c r="AW19" i="88"/>
  <c r="G20" i="88"/>
  <c r="AC21" i="88"/>
  <c r="AS25" i="88"/>
  <c r="AW29" i="88"/>
  <c r="AW31" i="88"/>
  <c r="AO32" i="88"/>
  <c r="Q19" i="88"/>
  <c r="CC19" i="88"/>
  <c r="BQ17" i="88"/>
  <c r="BM19" i="88"/>
  <c r="AS21" i="88"/>
  <c r="S22" i="88"/>
  <c r="U26" i="88"/>
  <c r="BA26" i="88"/>
  <c r="CC26" i="88"/>
  <c r="BM29" i="88"/>
  <c r="BM31" i="88"/>
  <c r="BE32" i="88"/>
  <c r="H46" i="88"/>
  <c r="H50" i="88" s="1"/>
  <c r="H52" i="88" s="1"/>
  <c r="G48" i="83"/>
  <c r="G31" i="83"/>
  <c r="G25" i="83"/>
  <c r="CK32" i="83"/>
  <c r="CK26" i="83"/>
  <c r="CG32" i="83"/>
  <c r="CG26" i="83"/>
  <c r="CC32" i="83"/>
  <c r="CC26" i="83"/>
  <c r="BY32" i="83"/>
  <c r="BY26" i="83"/>
  <c r="BU32" i="83"/>
  <c r="BU26" i="83"/>
  <c r="BQ32" i="83"/>
  <c r="BQ26" i="83"/>
  <c r="BM32" i="83"/>
  <c r="BM26" i="83"/>
  <c r="BI32" i="83"/>
  <c r="BI26" i="83"/>
  <c r="BE32" i="83"/>
  <c r="BE26" i="83"/>
  <c r="BA32" i="83"/>
  <c r="BA26" i="83"/>
  <c r="AW32" i="83"/>
  <c r="AW26" i="83"/>
  <c r="AS32" i="83"/>
  <c r="AS26" i="83"/>
  <c r="AO32" i="83"/>
  <c r="AO26" i="83"/>
  <c r="AK32" i="83"/>
  <c r="AK26" i="83"/>
  <c r="AG32" i="83"/>
  <c r="AG26" i="83"/>
  <c r="AC32" i="83"/>
  <c r="AC26" i="83"/>
  <c r="Y32" i="83"/>
  <c r="Y26" i="83"/>
  <c r="U32" i="83"/>
  <c r="U26" i="83"/>
  <c r="Q32" i="83"/>
  <c r="Q26" i="83"/>
  <c r="M32" i="83"/>
  <c r="M26" i="83"/>
  <c r="I32" i="83"/>
  <c r="I26" i="83"/>
  <c r="CK31" i="83"/>
  <c r="CK25" i="83"/>
  <c r="CG31" i="83"/>
  <c r="CG25" i="83"/>
  <c r="CC31" i="83"/>
  <c r="CC25" i="83"/>
  <c r="BY31" i="83"/>
  <c r="BY25" i="83"/>
  <c r="BU31" i="83"/>
  <c r="BU25" i="83"/>
  <c r="BQ31" i="83"/>
  <c r="BQ25" i="83"/>
  <c r="BM31" i="83"/>
  <c r="BM25" i="83"/>
  <c r="BI31" i="83"/>
  <c r="BI25" i="83"/>
  <c r="BE31" i="83"/>
  <c r="BE25" i="83"/>
  <c r="BA31" i="83"/>
  <c r="BA25" i="83"/>
  <c r="AW31" i="83"/>
  <c r="AW25" i="83"/>
  <c r="AS31" i="83"/>
  <c r="AS25" i="83"/>
  <c r="AO31" i="83"/>
  <c r="AO25" i="83"/>
  <c r="AK31" i="83"/>
  <c r="AK25" i="83"/>
  <c r="AG31" i="83"/>
  <c r="AG25" i="83"/>
  <c r="AC31" i="83"/>
  <c r="AC25" i="83"/>
  <c r="Y31" i="83"/>
  <c r="Y28" i="83" s="1"/>
  <c r="Y25" i="83"/>
  <c r="U31" i="83"/>
  <c r="U25" i="83"/>
  <c r="Q31" i="83"/>
  <c r="Q25" i="83"/>
  <c r="M31" i="83"/>
  <c r="M25" i="83"/>
  <c r="I31" i="83"/>
  <c r="I25" i="83"/>
  <c r="CK30" i="83"/>
  <c r="CK28" i="83" s="1"/>
  <c r="CK24" i="83"/>
  <c r="CG30" i="83"/>
  <c r="CG24" i="83"/>
  <c r="CC30" i="83"/>
  <c r="CC24" i="83"/>
  <c r="BY30" i="83"/>
  <c r="BY24" i="83"/>
  <c r="BU30" i="83"/>
  <c r="BU28" i="83" s="1"/>
  <c r="BU24" i="83"/>
  <c r="BQ30" i="83"/>
  <c r="BQ24" i="83"/>
  <c r="BM30" i="83"/>
  <c r="BM24" i="83"/>
  <c r="BI30" i="83"/>
  <c r="BI24" i="83"/>
  <c r="BE30" i="83"/>
  <c r="BE28" i="83" s="1"/>
  <c r="BE24" i="83"/>
  <c r="BA30" i="83"/>
  <c r="BA24" i="83"/>
  <c r="AW30" i="83"/>
  <c r="AW24" i="83"/>
  <c r="AS30" i="83"/>
  <c r="AS28" i="83" s="1"/>
  <c r="AS24" i="83"/>
  <c r="AO30" i="83"/>
  <c r="AO28" i="83" s="1"/>
  <c r="AO24" i="83"/>
  <c r="AK30" i="83"/>
  <c r="AK24" i="83"/>
  <c r="AG30" i="83"/>
  <c r="AG24" i="83"/>
  <c r="BY28" i="83"/>
  <c r="BI28" i="83"/>
  <c r="AW28" i="83"/>
  <c r="AC28" i="83"/>
  <c r="M28" i="83"/>
  <c r="I28" i="83"/>
  <c r="H24" i="83"/>
  <c r="L24" i="83"/>
  <c r="P24" i="83"/>
  <c r="U24" i="83"/>
  <c r="Z24" i="83"/>
  <c r="FV41" i="83"/>
  <c r="G49" i="83"/>
  <c r="G32" i="83"/>
  <c r="G26" i="83"/>
  <c r="CJ32" i="83"/>
  <c r="CJ26" i="83"/>
  <c r="CF32" i="83"/>
  <c r="CF26" i="83"/>
  <c r="CB32" i="83"/>
  <c r="CB26" i="83"/>
  <c r="BX32" i="83"/>
  <c r="BX26" i="83"/>
  <c r="BT32" i="83"/>
  <c r="BT26" i="83"/>
  <c r="BP32" i="83"/>
  <c r="BP26" i="83"/>
  <c r="BL32" i="83"/>
  <c r="BL26" i="83"/>
  <c r="BH32" i="83"/>
  <c r="BH26" i="83"/>
  <c r="BD32" i="83"/>
  <c r="BD26" i="83"/>
  <c r="AZ32" i="83"/>
  <c r="AZ26" i="83"/>
  <c r="AV32" i="83"/>
  <c r="AV26" i="83"/>
  <c r="AR32" i="83"/>
  <c r="AR26" i="83"/>
  <c r="AN32" i="83"/>
  <c r="AN26" i="83"/>
  <c r="AJ32" i="83"/>
  <c r="AJ26" i="83"/>
  <c r="AF32" i="83"/>
  <c r="AF26" i="83"/>
  <c r="AB32" i="83"/>
  <c r="AB26" i="83"/>
  <c r="X32" i="83"/>
  <c r="X26" i="83"/>
  <c r="T32" i="83"/>
  <c r="T26" i="83"/>
  <c r="P32" i="83"/>
  <c r="P26" i="83"/>
  <c r="L32" i="83"/>
  <c r="L26" i="83"/>
  <c r="H32" i="83"/>
  <c r="H26" i="83"/>
  <c r="CJ31" i="83"/>
  <c r="CJ25" i="83"/>
  <c r="CF31" i="83"/>
  <c r="CF25" i="83"/>
  <c r="CB31" i="83"/>
  <c r="CB25" i="83"/>
  <c r="BX31" i="83"/>
  <c r="BX25" i="83"/>
  <c r="BT31" i="83"/>
  <c r="BT25" i="83"/>
  <c r="BP31" i="83"/>
  <c r="BP25" i="83"/>
  <c r="BL31" i="83"/>
  <c r="BL25" i="83"/>
  <c r="BH31" i="83"/>
  <c r="BH25" i="83"/>
  <c r="BD31" i="83"/>
  <c r="BD25" i="83"/>
  <c r="AZ31" i="83"/>
  <c r="AZ25" i="83"/>
  <c r="AV31" i="83"/>
  <c r="AV25" i="83"/>
  <c r="AR31" i="83"/>
  <c r="AR25" i="83"/>
  <c r="AN31" i="83"/>
  <c r="AN25" i="83"/>
  <c r="AJ31" i="83"/>
  <c r="AJ25" i="83"/>
  <c r="AF31" i="83"/>
  <c r="AF25" i="83"/>
  <c r="AB31" i="83"/>
  <c r="AB28" i="83" s="1"/>
  <c r="AB25" i="83"/>
  <c r="X31" i="83"/>
  <c r="X25" i="83"/>
  <c r="T31" i="83"/>
  <c r="T25" i="83"/>
  <c r="P31" i="83"/>
  <c r="P25" i="83"/>
  <c r="L31" i="83"/>
  <c r="L28" i="83" s="1"/>
  <c r="L25" i="83"/>
  <c r="H31" i="83"/>
  <c r="H25" i="83"/>
  <c r="CJ30" i="83"/>
  <c r="CJ24" i="83"/>
  <c r="CF30" i="83"/>
  <c r="CF24" i="83"/>
  <c r="CB30" i="83"/>
  <c r="CB28" i="83" s="1"/>
  <c r="CB24" i="83"/>
  <c r="BX30" i="83"/>
  <c r="BX24" i="83"/>
  <c r="BT30" i="83"/>
  <c r="BT24" i="83"/>
  <c r="BP30" i="83"/>
  <c r="BP24" i="83"/>
  <c r="BL30" i="83"/>
  <c r="BL24" i="83"/>
  <c r="BH30" i="83"/>
  <c r="BH24" i="83"/>
  <c r="BD30" i="83"/>
  <c r="BD24" i="83"/>
  <c r="AZ30" i="83"/>
  <c r="AZ24" i="83"/>
  <c r="AV30" i="83"/>
  <c r="AV28" i="83" s="1"/>
  <c r="AV24" i="83"/>
  <c r="AR30" i="83"/>
  <c r="AR24" i="83"/>
  <c r="AN30" i="83"/>
  <c r="AN24" i="83"/>
  <c r="AJ30" i="83"/>
  <c r="AJ24" i="83"/>
  <c r="AF30" i="83"/>
  <c r="AF24" i="83"/>
  <c r="P28" i="83"/>
  <c r="I24" i="83"/>
  <c r="M24" i="83"/>
  <c r="Q24" i="83"/>
  <c r="V24" i="83"/>
  <c r="AB24" i="83"/>
  <c r="CM32" i="83"/>
  <c r="CM26" i="83"/>
  <c r="CI32" i="83"/>
  <c r="CI26" i="83"/>
  <c r="CE32" i="83"/>
  <c r="CE26" i="83"/>
  <c r="CA32" i="83"/>
  <c r="CA26" i="83"/>
  <c r="BW32" i="83"/>
  <c r="BW26" i="83"/>
  <c r="BS32" i="83"/>
  <c r="BS26" i="83"/>
  <c r="BO32" i="83"/>
  <c r="BO26" i="83"/>
  <c r="BK32" i="83"/>
  <c r="BK26" i="83"/>
  <c r="BG32" i="83"/>
  <c r="BG26" i="83"/>
  <c r="BC32" i="83"/>
  <c r="BC26" i="83"/>
  <c r="AY32" i="83"/>
  <c r="AY26" i="83"/>
  <c r="AU32" i="83"/>
  <c r="AU26" i="83"/>
  <c r="AQ32" i="83"/>
  <c r="AQ26" i="83"/>
  <c r="AM32" i="83"/>
  <c r="AM26" i="83"/>
  <c r="AI32" i="83"/>
  <c r="AI26" i="83"/>
  <c r="AE32" i="83"/>
  <c r="AE26" i="83"/>
  <c r="AA32" i="83"/>
  <c r="AA26" i="83"/>
  <c r="W32" i="83"/>
  <c r="W26" i="83"/>
  <c r="S49" i="83"/>
  <c r="S32" i="83"/>
  <c r="S26" i="83"/>
  <c r="O49" i="83"/>
  <c r="O32" i="83"/>
  <c r="O26" i="83"/>
  <c r="K49" i="83"/>
  <c r="K32" i="83"/>
  <c r="K26" i="83"/>
  <c r="CM31" i="83"/>
  <c r="CM25" i="83"/>
  <c r="CI31" i="83"/>
  <c r="CI25" i="83"/>
  <c r="CE31" i="83"/>
  <c r="CE25" i="83"/>
  <c r="CA31" i="83"/>
  <c r="CA25" i="83"/>
  <c r="BW31" i="83"/>
  <c r="BW25" i="83"/>
  <c r="BS31" i="83"/>
  <c r="BS25" i="83"/>
  <c r="BO31" i="83"/>
  <c r="BO25" i="83"/>
  <c r="BK31" i="83"/>
  <c r="BK25" i="83"/>
  <c r="BG31" i="83"/>
  <c r="BG25" i="83"/>
  <c r="BC31" i="83"/>
  <c r="BC25" i="83"/>
  <c r="AY31" i="83"/>
  <c r="AY25" i="83"/>
  <c r="AU31" i="83"/>
  <c r="AU25" i="83"/>
  <c r="AQ31" i="83"/>
  <c r="AQ25" i="83"/>
  <c r="AM31" i="83"/>
  <c r="AM25" i="83"/>
  <c r="AI31" i="83"/>
  <c r="AI25" i="83"/>
  <c r="AE31" i="83"/>
  <c r="AE25" i="83"/>
  <c r="AA31" i="83"/>
  <c r="AA25" i="83"/>
  <c r="W31" i="83"/>
  <c r="W25" i="83"/>
  <c r="S48" i="83"/>
  <c r="S31" i="83"/>
  <c r="S25" i="83"/>
  <c r="O48" i="83"/>
  <c r="O31" i="83"/>
  <c r="O25" i="83"/>
  <c r="K48" i="83"/>
  <c r="K31" i="83"/>
  <c r="K25" i="83"/>
  <c r="CM30" i="83"/>
  <c r="CM24" i="83"/>
  <c r="CI30" i="83"/>
  <c r="CI24" i="83"/>
  <c r="CE30" i="83"/>
  <c r="CE24" i="83"/>
  <c r="CA30" i="83"/>
  <c r="CA24" i="83"/>
  <c r="BW30" i="83"/>
  <c r="BW24" i="83"/>
  <c r="BS30" i="83"/>
  <c r="BS24" i="83"/>
  <c r="BO30" i="83"/>
  <c r="BO24" i="83"/>
  <c r="BK30" i="83"/>
  <c r="BK24" i="83"/>
  <c r="BG30" i="83"/>
  <c r="BG24" i="83"/>
  <c r="BC30" i="83"/>
  <c r="BC24" i="83"/>
  <c r="AY30" i="83"/>
  <c r="AY24" i="83"/>
  <c r="AU30" i="83"/>
  <c r="AU24" i="83"/>
  <c r="AQ30" i="83"/>
  <c r="AQ24" i="83"/>
  <c r="AM30" i="83"/>
  <c r="AM24" i="83"/>
  <c r="AI30" i="83"/>
  <c r="AI24" i="83"/>
  <c r="AE30" i="83"/>
  <c r="AE24" i="83"/>
  <c r="AA30" i="83"/>
  <c r="AA24" i="83"/>
  <c r="W30" i="83"/>
  <c r="W24" i="83"/>
  <c r="S47" i="83"/>
  <c r="S30" i="83"/>
  <c r="S24" i="83"/>
  <c r="O47" i="83"/>
  <c r="O30" i="83"/>
  <c r="K47" i="83"/>
  <c r="K30" i="83"/>
  <c r="J24" i="83"/>
  <c r="N24" i="83"/>
  <c r="R24" i="83"/>
  <c r="X24" i="83"/>
  <c r="AC24" i="83"/>
  <c r="G47" i="83"/>
  <c r="G30" i="83"/>
  <c r="G28" i="83" s="1"/>
  <c r="CL32" i="83"/>
  <c r="CL26" i="83"/>
  <c r="CH32" i="83"/>
  <c r="CH26" i="83"/>
  <c r="CD32" i="83"/>
  <c r="CD26" i="83"/>
  <c r="BZ32" i="83"/>
  <c r="BZ26" i="83"/>
  <c r="BV32" i="83"/>
  <c r="BV26" i="83"/>
  <c r="BR32" i="83"/>
  <c r="BR26" i="83"/>
  <c r="BN32" i="83"/>
  <c r="BN26" i="83"/>
  <c r="BJ32" i="83"/>
  <c r="BJ26" i="83"/>
  <c r="BF32" i="83"/>
  <c r="BF26" i="83"/>
  <c r="BB32" i="83"/>
  <c r="BB26" i="83"/>
  <c r="AX32" i="83"/>
  <c r="AX26" i="83"/>
  <c r="AT32" i="83"/>
  <c r="AT26" i="83"/>
  <c r="AP32" i="83"/>
  <c r="AP26" i="83"/>
  <c r="AL32" i="83"/>
  <c r="AL26" i="83"/>
  <c r="AH32" i="83"/>
  <c r="AH26" i="83"/>
  <c r="AD32" i="83"/>
  <c r="AD26" i="83"/>
  <c r="Z32" i="83"/>
  <c r="Z26" i="83"/>
  <c r="V32" i="83"/>
  <c r="V26" i="83"/>
  <c r="R32" i="83"/>
  <c r="R26" i="83"/>
  <c r="N32" i="83"/>
  <c r="N26" i="83"/>
  <c r="J32" i="83"/>
  <c r="J26" i="83"/>
  <c r="CL31" i="83"/>
  <c r="CL25" i="83"/>
  <c r="CH31" i="83"/>
  <c r="CH25" i="83"/>
  <c r="CD31" i="83"/>
  <c r="CD25" i="83"/>
  <c r="BZ31" i="83"/>
  <c r="BZ25" i="83"/>
  <c r="BV31" i="83"/>
  <c r="BV25" i="83"/>
  <c r="BR31" i="83"/>
  <c r="BR25" i="83"/>
  <c r="BN31" i="83"/>
  <c r="BN25" i="83"/>
  <c r="BJ31" i="83"/>
  <c r="BJ25" i="83"/>
  <c r="BF31" i="83"/>
  <c r="BF25" i="83"/>
  <c r="BB31" i="83"/>
  <c r="BB25" i="83"/>
  <c r="AX31" i="83"/>
  <c r="AX25" i="83"/>
  <c r="AT31" i="83"/>
  <c r="AT25" i="83"/>
  <c r="AP31" i="83"/>
  <c r="AP25" i="83"/>
  <c r="AL31" i="83"/>
  <c r="AL25" i="83"/>
  <c r="AH31" i="83"/>
  <c r="AH25" i="83"/>
  <c r="AD31" i="83"/>
  <c r="AD25" i="83"/>
  <c r="Z31" i="83"/>
  <c r="Z25" i="83"/>
  <c r="V31" i="83"/>
  <c r="V25" i="83"/>
  <c r="R31" i="83"/>
  <c r="R25" i="83"/>
  <c r="N31" i="83"/>
  <c r="N25" i="83"/>
  <c r="J31" i="83"/>
  <c r="J25" i="83"/>
  <c r="CL30" i="83"/>
  <c r="CL24" i="83"/>
  <c r="CH30" i="83"/>
  <c r="CH24" i="83"/>
  <c r="CD30" i="83"/>
  <c r="CD24" i="83"/>
  <c r="BZ30" i="83"/>
  <c r="BZ24" i="83"/>
  <c r="BV30" i="83"/>
  <c r="BV24" i="83"/>
  <c r="BR30" i="83"/>
  <c r="BR24" i="83"/>
  <c r="BN30" i="83"/>
  <c r="BN24" i="83"/>
  <c r="BJ30" i="83"/>
  <c r="BJ24" i="83"/>
  <c r="BF30" i="83"/>
  <c r="BF24" i="83"/>
  <c r="BB30" i="83"/>
  <c r="BB24" i="83"/>
  <c r="AX30" i="83"/>
  <c r="AX24" i="83"/>
  <c r="AT30" i="83"/>
  <c r="AT24" i="83"/>
  <c r="AP30" i="83"/>
  <c r="AP24" i="83"/>
  <c r="AL30" i="83"/>
  <c r="AL24" i="83"/>
  <c r="AH30" i="83"/>
  <c r="AH24" i="83"/>
  <c r="G24" i="83"/>
  <c r="K24" i="83"/>
  <c r="O24" i="83"/>
  <c r="T24" i="83"/>
  <c r="Y24" i="83"/>
  <c r="AD24" i="83"/>
  <c r="B37" i="86"/>
  <c r="N43" i="88"/>
  <c r="N61" i="88" s="1"/>
  <c r="N42" i="88"/>
  <c r="N60" i="88" s="1"/>
  <c r="N45" i="88"/>
  <c r="N63" i="88" s="1"/>
  <c r="N40" i="88"/>
  <c r="N44" i="88"/>
  <c r="N64" i="88" s="1"/>
  <c r="N38" i="88"/>
  <c r="N36" i="88"/>
  <c r="N34" i="88"/>
  <c r="N39" i="88"/>
  <c r="N37" i="88"/>
  <c r="N35" i="88"/>
  <c r="AD43" i="88"/>
  <c r="AD61" i="88" s="1"/>
  <c r="AD42" i="88"/>
  <c r="AD60" i="88" s="1"/>
  <c r="AD45" i="88"/>
  <c r="AD63" i="88" s="1"/>
  <c r="AD40" i="88"/>
  <c r="AD44" i="88"/>
  <c r="AD64" i="88" s="1"/>
  <c r="AD38" i="88"/>
  <c r="AD36" i="88"/>
  <c r="AD34" i="88"/>
  <c r="AD33" i="88"/>
  <c r="AD39" i="88"/>
  <c r="AD37" i="88"/>
  <c r="AD35" i="88"/>
  <c r="AD27" i="88"/>
  <c r="AD23" i="88"/>
  <c r="AT43" i="88"/>
  <c r="AT61" i="88" s="1"/>
  <c r="AT42" i="88"/>
  <c r="AT60" i="88" s="1"/>
  <c r="AT45" i="88"/>
  <c r="AT63" i="88" s="1"/>
  <c r="AT40" i="88"/>
  <c r="AT44" i="88"/>
  <c r="AT64" i="88" s="1"/>
  <c r="AT38" i="88"/>
  <c r="AT36" i="88"/>
  <c r="AT34" i="88"/>
  <c r="AT33" i="88"/>
  <c r="AT39" i="88"/>
  <c r="AT37" i="88"/>
  <c r="AT35" i="88"/>
  <c r="AT27" i="88"/>
  <c r="AT23" i="88"/>
  <c r="BJ43" i="88"/>
  <c r="BJ61" i="88" s="1"/>
  <c r="BJ42" i="88"/>
  <c r="BJ60" i="88" s="1"/>
  <c r="BJ45" i="88"/>
  <c r="BJ63" i="88" s="1"/>
  <c r="BJ40" i="88"/>
  <c r="BJ44" i="88"/>
  <c r="BJ64" i="88" s="1"/>
  <c r="BJ38" i="88"/>
  <c r="BJ36" i="88"/>
  <c r="BJ34" i="88"/>
  <c r="BJ33" i="88"/>
  <c r="BJ39" i="88"/>
  <c r="BJ37" i="88"/>
  <c r="BJ35" i="88"/>
  <c r="BJ27" i="88"/>
  <c r="BJ23" i="88"/>
  <c r="BZ34" i="88"/>
  <c r="T48" i="88"/>
  <c r="T31" i="88"/>
  <c r="T25" i="88"/>
  <c r="AB48" i="88"/>
  <c r="AB31" i="88"/>
  <c r="AB25" i="88"/>
  <c r="AN48" i="88"/>
  <c r="AN31" i="88"/>
  <c r="AN25" i="88"/>
  <c r="AV48" i="88"/>
  <c r="AV31" i="88"/>
  <c r="AV25" i="88"/>
  <c r="BH48" i="88"/>
  <c r="BH31" i="88"/>
  <c r="BH25" i="88"/>
  <c r="BT48" i="88"/>
  <c r="BT31" i="88"/>
  <c r="BT25" i="88"/>
  <c r="CF48" i="88"/>
  <c r="CF31" i="88"/>
  <c r="CF25" i="88"/>
  <c r="Z43" i="88"/>
  <c r="Z61" i="88" s="1"/>
  <c r="Z42" i="88"/>
  <c r="Z60" i="88" s="1"/>
  <c r="Z45" i="88"/>
  <c r="Z63" i="88" s="1"/>
  <c r="Z40" i="88"/>
  <c r="Z38" i="88"/>
  <c r="Z36" i="88"/>
  <c r="Z34" i="88"/>
  <c r="Z44" i="88"/>
  <c r="Z64" i="88" s="1"/>
  <c r="Z33" i="88"/>
  <c r="Z39" i="88"/>
  <c r="Z37" i="88"/>
  <c r="Z35" i="88"/>
  <c r="Z27" i="88"/>
  <c r="Z23" i="88"/>
  <c r="BF43" i="88"/>
  <c r="BF61" i="88" s="1"/>
  <c r="BF42" i="88"/>
  <c r="BF60" i="88" s="1"/>
  <c r="BF45" i="88"/>
  <c r="BF63" i="88" s="1"/>
  <c r="BF40" i="88"/>
  <c r="BF38" i="88"/>
  <c r="BF36" i="88"/>
  <c r="BF34" i="88"/>
  <c r="BF44" i="88"/>
  <c r="BF64" i="88" s="1"/>
  <c r="BF33" i="88"/>
  <c r="BF39" i="88"/>
  <c r="BF37" i="88"/>
  <c r="BF35" i="88"/>
  <c r="BF27" i="88"/>
  <c r="BF23" i="88"/>
  <c r="CL43" i="88"/>
  <c r="CL61" i="88" s="1"/>
  <c r="CL39" i="88"/>
  <c r="CL42" i="88"/>
  <c r="CL60" i="88" s="1"/>
  <c r="CL45" i="88"/>
  <c r="CL63" i="88" s="1"/>
  <c r="CL40" i="88"/>
  <c r="CL38" i="88"/>
  <c r="CL36" i="88"/>
  <c r="CL34" i="88"/>
  <c r="CL44" i="88"/>
  <c r="CL64" i="88" s="1"/>
  <c r="CL33" i="88"/>
  <c r="CL37" i="88"/>
  <c r="CL35" i="88"/>
  <c r="CL27" i="88"/>
  <c r="CL23" i="88"/>
  <c r="U47" i="88"/>
  <c r="U50" i="88" s="1"/>
  <c r="U52" i="88" s="1"/>
  <c r="U30" i="88"/>
  <c r="U24" i="88"/>
  <c r="Y47" i="88"/>
  <c r="Y30" i="88"/>
  <c r="Y24" i="88"/>
  <c r="AC47" i="88"/>
  <c r="AC50" i="88" s="1"/>
  <c r="AC52" i="88" s="1"/>
  <c r="AC30" i="88"/>
  <c r="AC24" i="88"/>
  <c r="AG47" i="88"/>
  <c r="AG50" i="88" s="1"/>
  <c r="AG52" i="88" s="1"/>
  <c r="AG30" i="88"/>
  <c r="AG24" i="88"/>
  <c r="AK47" i="88"/>
  <c r="AK51" i="88" s="1"/>
  <c r="AK53" i="88" s="1"/>
  <c r="AK30" i="88"/>
  <c r="AK24" i="88"/>
  <c r="AO47" i="88"/>
  <c r="AO24" i="88"/>
  <c r="AO30" i="88"/>
  <c r="AS47" i="88"/>
  <c r="AS50" i="88" s="1"/>
  <c r="AS52" i="88" s="1"/>
  <c r="AS30" i="88"/>
  <c r="AS24" i="88"/>
  <c r="AW47" i="88"/>
  <c r="AW51" i="88" s="1"/>
  <c r="AW53" i="88" s="1"/>
  <c r="AW30" i="88"/>
  <c r="AW24" i="88"/>
  <c r="BA47" i="88"/>
  <c r="BA51" i="88" s="1"/>
  <c r="BA53" i="88" s="1"/>
  <c r="BA30" i="88"/>
  <c r="BA24" i="88"/>
  <c r="BE47" i="88"/>
  <c r="BE30" i="88"/>
  <c r="BE24" i="88"/>
  <c r="BI47" i="88"/>
  <c r="BI50" i="88" s="1"/>
  <c r="BI52" i="88" s="1"/>
  <c r="BI30" i="88"/>
  <c r="BI24" i="88"/>
  <c r="BM47" i="88"/>
  <c r="BM50" i="88" s="1"/>
  <c r="BM52" i="88" s="1"/>
  <c r="BM30" i="88"/>
  <c r="BM24" i="88"/>
  <c r="BQ47" i="88"/>
  <c r="BQ50" i="88" s="1"/>
  <c r="BQ52" i="88" s="1"/>
  <c r="BQ30" i="88"/>
  <c r="BQ24" i="88"/>
  <c r="BU47" i="88"/>
  <c r="BU24" i="88"/>
  <c r="BU30" i="88"/>
  <c r="BY47" i="88"/>
  <c r="BY50" i="88" s="1"/>
  <c r="BY52" i="88" s="1"/>
  <c r="BY30" i="88"/>
  <c r="BY24" i="88"/>
  <c r="CC47" i="88"/>
  <c r="CC51" i="88" s="1"/>
  <c r="CC53" i="88" s="1"/>
  <c r="CC30" i="88"/>
  <c r="CC24" i="88"/>
  <c r="CG47" i="88"/>
  <c r="CG51" i="88" s="1"/>
  <c r="CG53" i="88" s="1"/>
  <c r="CG30" i="88"/>
  <c r="CG24" i="88"/>
  <c r="CK47" i="88"/>
  <c r="CK30" i="88"/>
  <c r="CK24" i="88"/>
  <c r="I17" i="88"/>
  <c r="Y17" i="88"/>
  <c r="AO17" i="88"/>
  <c r="BE17" i="88"/>
  <c r="BU17" i="88"/>
  <c r="CK17" i="88"/>
  <c r="O18" i="88"/>
  <c r="AE18" i="88"/>
  <c r="AU18" i="88"/>
  <c r="BK18" i="88"/>
  <c r="CA18" i="88"/>
  <c r="U19" i="88"/>
  <c r="AK19" i="88"/>
  <c r="BA19" i="88"/>
  <c r="BQ19" i="88"/>
  <c r="CG19" i="88"/>
  <c r="K20" i="88"/>
  <c r="AA20" i="88"/>
  <c r="AQ20" i="88"/>
  <c r="BG20" i="88"/>
  <c r="BW20" i="88"/>
  <c r="Q21" i="88"/>
  <c r="AG21" i="88"/>
  <c r="AW21" i="88"/>
  <c r="BM21" i="88"/>
  <c r="CC21" i="88"/>
  <c r="G22" i="88"/>
  <c r="X48" i="88"/>
  <c r="X31" i="88"/>
  <c r="X25" i="88"/>
  <c r="AJ48" i="88"/>
  <c r="AJ31" i="88"/>
  <c r="AJ25" i="88"/>
  <c r="BD48" i="88"/>
  <c r="BD31" i="88"/>
  <c r="BD25" i="88"/>
  <c r="BP48" i="88"/>
  <c r="BP31" i="88"/>
  <c r="BP25" i="88"/>
  <c r="CB48" i="88"/>
  <c r="CB31" i="88"/>
  <c r="CB25" i="88"/>
  <c r="J43" i="88"/>
  <c r="J61" i="88" s="1"/>
  <c r="J42" i="88"/>
  <c r="J60" i="88" s="1"/>
  <c r="J45" i="88"/>
  <c r="J63" i="88" s="1"/>
  <c r="J40" i="88"/>
  <c r="J38" i="88"/>
  <c r="J36" i="88"/>
  <c r="J34" i="88"/>
  <c r="J44" i="88"/>
  <c r="J64" i="88" s="1"/>
  <c r="J39" i="88"/>
  <c r="J37" i="88"/>
  <c r="J35" i="88"/>
  <c r="BV43" i="88"/>
  <c r="BV61" i="88" s="1"/>
  <c r="BV42" i="88"/>
  <c r="BV60" i="88" s="1"/>
  <c r="BV45" i="88"/>
  <c r="BV63" i="88" s="1"/>
  <c r="BV40" i="88"/>
  <c r="BV38" i="88"/>
  <c r="BV36" i="88"/>
  <c r="BV34" i="88"/>
  <c r="BV44" i="88"/>
  <c r="BV64" i="88" s="1"/>
  <c r="BV33" i="88"/>
  <c r="BV39" i="88"/>
  <c r="BV37" i="88"/>
  <c r="BV35" i="88"/>
  <c r="BV27" i="88"/>
  <c r="BV23" i="88"/>
  <c r="J46" i="88"/>
  <c r="J22" i="88"/>
  <c r="J20" i="88"/>
  <c r="J18" i="88"/>
  <c r="J21" i="88"/>
  <c r="J19" i="88"/>
  <c r="J17" i="88"/>
  <c r="J66" i="88" s="1"/>
  <c r="N46" i="88"/>
  <c r="N51" i="88" s="1"/>
  <c r="N53" i="88" s="1"/>
  <c r="N22" i="88"/>
  <c r="N20" i="88"/>
  <c r="N18" i="88"/>
  <c r="N21" i="88"/>
  <c r="N19" i="88"/>
  <c r="N17" i="88"/>
  <c r="N66" i="88" s="1"/>
  <c r="R46" i="88"/>
  <c r="R51" i="88" s="1"/>
  <c r="R53" i="88" s="1"/>
  <c r="R22" i="88"/>
  <c r="R20" i="88"/>
  <c r="R18" i="88"/>
  <c r="R21" i="88"/>
  <c r="R19" i="88"/>
  <c r="R17" i="88"/>
  <c r="V46" i="88"/>
  <c r="V29" i="88"/>
  <c r="V22" i="88"/>
  <c r="V20" i="88"/>
  <c r="V18" i="88"/>
  <c r="V21" i="88"/>
  <c r="V19" i="88"/>
  <c r="V17" i="88"/>
  <c r="Z46" i="88"/>
  <c r="Z29" i="88"/>
  <c r="Z22" i="88"/>
  <c r="Z20" i="88"/>
  <c r="Z18" i="88"/>
  <c r="Z21" i="88"/>
  <c r="Z19" i="88"/>
  <c r="Z17" i="88"/>
  <c r="Z66" i="88" s="1"/>
  <c r="AD46" i="88"/>
  <c r="AD29" i="88"/>
  <c r="AD22" i="88"/>
  <c r="AD20" i="88"/>
  <c r="AD18" i="88"/>
  <c r="AD21" i="88"/>
  <c r="AD19" i="88"/>
  <c r="AD17" i="88"/>
  <c r="AD66" i="88" s="1"/>
  <c r="AH46" i="88"/>
  <c r="AH29" i="88"/>
  <c r="AH22" i="88"/>
  <c r="AH20" i="88"/>
  <c r="AH18" i="88"/>
  <c r="AH21" i="88"/>
  <c r="AH19" i="88"/>
  <c r="AH17" i="88"/>
  <c r="AL46" i="88"/>
  <c r="AL29" i="88"/>
  <c r="AL22" i="88"/>
  <c r="AL20" i="88"/>
  <c r="AL18" i="88"/>
  <c r="AL21" i="88"/>
  <c r="AL19" i="88"/>
  <c r="AL17" i="88"/>
  <c r="AP46" i="88"/>
  <c r="AP29" i="88"/>
  <c r="AP22" i="88"/>
  <c r="AP20" i="88"/>
  <c r="AP18" i="88"/>
  <c r="AP21" i="88"/>
  <c r="AP19" i="88"/>
  <c r="AP17" i="88"/>
  <c r="AP66" i="88" s="1"/>
  <c r="AT46" i="88"/>
  <c r="AT29" i="88"/>
  <c r="AT22" i="88"/>
  <c r="AT20" i="88"/>
  <c r="AT18" i="88"/>
  <c r="AT21" i="88"/>
  <c r="AT19" i="88"/>
  <c r="AT17" i="88"/>
  <c r="AT66" i="88" s="1"/>
  <c r="AX46" i="88"/>
  <c r="AX29" i="88"/>
  <c r="AX22" i="88"/>
  <c r="AX20" i="88"/>
  <c r="AX18" i="88"/>
  <c r="AX21" i="88"/>
  <c r="AX19" i="88"/>
  <c r="AX17" i="88"/>
  <c r="BB46" i="88"/>
  <c r="BB29" i="88"/>
  <c r="BB22" i="88"/>
  <c r="BB20" i="88"/>
  <c r="BB18" i="88"/>
  <c r="BB21" i="88"/>
  <c r="BB19" i="88"/>
  <c r="BB17" i="88"/>
  <c r="BF46" i="88"/>
  <c r="BF29" i="88"/>
  <c r="BF22" i="88"/>
  <c r="BF20" i="88"/>
  <c r="BF18" i="88"/>
  <c r="BF21" i="88"/>
  <c r="BF19" i="88"/>
  <c r="BF17" i="88"/>
  <c r="BF66" i="88" s="1"/>
  <c r="BJ46" i="88"/>
  <c r="BJ29" i="88"/>
  <c r="BJ22" i="88"/>
  <c r="BJ20" i="88"/>
  <c r="BJ18" i="88"/>
  <c r="BJ21" i="88"/>
  <c r="BJ19" i="88"/>
  <c r="BJ17" i="88"/>
  <c r="BJ66" i="88" s="1"/>
  <c r="BN46" i="88"/>
  <c r="BN29" i="88"/>
  <c r="BN22" i="88"/>
  <c r="BN20" i="88"/>
  <c r="BN18" i="88"/>
  <c r="BN21" i="88"/>
  <c r="BN19" i="88"/>
  <c r="BN17" i="88"/>
  <c r="BR46" i="88"/>
  <c r="BR29" i="88"/>
  <c r="BR22" i="88"/>
  <c r="BR20" i="88"/>
  <c r="BR18" i="88"/>
  <c r="BR21" i="88"/>
  <c r="BR19" i="88"/>
  <c r="BR17" i="88"/>
  <c r="BV46" i="88"/>
  <c r="BV29" i="88"/>
  <c r="BV22" i="88"/>
  <c r="BV20" i="88"/>
  <c r="BV18" i="88"/>
  <c r="BV21" i="88"/>
  <c r="BV19" i="88"/>
  <c r="BV17" i="88"/>
  <c r="BV66" i="88" s="1"/>
  <c r="BZ46" i="88"/>
  <c r="BZ29" i="88"/>
  <c r="BZ22" i="88"/>
  <c r="BZ20" i="88"/>
  <c r="BZ18" i="88"/>
  <c r="BZ21" i="88"/>
  <c r="BZ19" i="88"/>
  <c r="BZ17" i="88"/>
  <c r="CD46" i="88"/>
  <c r="CD29" i="88"/>
  <c r="CD22" i="88"/>
  <c r="CD20" i="88"/>
  <c r="CD18" i="88"/>
  <c r="CD21" i="88"/>
  <c r="CD19" i="88"/>
  <c r="CD17" i="88"/>
  <c r="CH46" i="88"/>
  <c r="CH29" i="88"/>
  <c r="CH22" i="88"/>
  <c r="CH20" i="88"/>
  <c r="CH18" i="88"/>
  <c r="CH21" i="88"/>
  <c r="CH19" i="88"/>
  <c r="CH17" i="88"/>
  <c r="CL46" i="88"/>
  <c r="CL29" i="88"/>
  <c r="CL22" i="88"/>
  <c r="CL20" i="88"/>
  <c r="CL18" i="88"/>
  <c r="CL21" i="88"/>
  <c r="CL19" i="88"/>
  <c r="CL17" i="88"/>
  <c r="CL66" i="88" s="1"/>
  <c r="R16" i="88"/>
  <c r="AH16" i="88"/>
  <c r="AX16" i="88"/>
  <c r="BN16" i="88"/>
  <c r="CD16" i="88"/>
  <c r="M17" i="88"/>
  <c r="AC17" i="88"/>
  <c r="AS17" i="88"/>
  <c r="BI17" i="88"/>
  <c r="BY17" i="88"/>
  <c r="S18" i="88"/>
  <c r="I19" i="88"/>
  <c r="Y19" i="88"/>
  <c r="AO19" i="88"/>
  <c r="BE19" i="88"/>
  <c r="BU19" i="88"/>
  <c r="CK19" i="88"/>
  <c r="O20" i="88"/>
  <c r="U21" i="88"/>
  <c r="AK21" i="88"/>
  <c r="BA21" i="88"/>
  <c r="BQ21" i="88"/>
  <c r="CG21" i="88"/>
  <c r="K22" i="88"/>
  <c r="AF48" i="88"/>
  <c r="AF31" i="88"/>
  <c r="AF25" i="88"/>
  <c r="AR48" i="88"/>
  <c r="AR31" i="88"/>
  <c r="AR25" i="88"/>
  <c r="AZ48" i="88"/>
  <c r="AZ31" i="88"/>
  <c r="AZ25" i="88"/>
  <c r="BL48" i="88"/>
  <c r="BL31" i="88"/>
  <c r="BL25" i="88"/>
  <c r="BX48" i="88"/>
  <c r="BX31" i="88"/>
  <c r="BX25" i="88"/>
  <c r="CJ48" i="88"/>
  <c r="CJ31" i="88"/>
  <c r="CJ25" i="88"/>
  <c r="AP43" i="88"/>
  <c r="AP61" i="88" s="1"/>
  <c r="AP42" i="88"/>
  <c r="AP60" i="88" s="1"/>
  <c r="AP45" i="88"/>
  <c r="AP63" i="88" s="1"/>
  <c r="AP40" i="88"/>
  <c r="AP38" i="88"/>
  <c r="AP36" i="88"/>
  <c r="AP34" i="88"/>
  <c r="AP44" i="88"/>
  <c r="AP64" i="88" s="1"/>
  <c r="AP33" i="88"/>
  <c r="AP39" i="88"/>
  <c r="AP37" i="88"/>
  <c r="AP35" i="88"/>
  <c r="AP27" i="88"/>
  <c r="AP23" i="88"/>
  <c r="W49" i="88"/>
  <c r="W32" i="88"/>
  <c r="W26" i="88"/>
  <c r="AA49" i="88"/>
  <c r="AA32" i="88"/>
  <c r="AA26" i="88"/>
  <c r="AE49" i="88"/>
  <c r="AE32" i="88"/>
  <c r="AE26" i="88"/>
  <c r="AI49" i="88"/>
  <c r="AI32" i="88"/>
  <c r="AI26" i="88"/>
  <c r="AM49" i="88"/>
  <c r="AM32" i="88"/>
  <c r="AM26" i="88"/>
  <c r="AQ49" i="88"/>
  <c r="AQ32" i="88"/>
  <c r="AQ26" i="88"/>
  <c r="AU49" i="88"/>
  <c r="AU32" i="88"/>
  <c r="AU26" i="88"/>
  <c r="AY49" i="88"/>
  <c r="AY32" i="88"/>
  <c r="AY26" i="88"/>
  <c r="BC49" i="88"/>
  <c r="BC32" i="88"/>
  <c r="BC26" i="88"/>
  <c r="BG49" i="88"/>
  <c r="BG32" i="88"/>
  <c r="BG26" i="88"/>
  <c r="BK49" i="88"/>
  <c r="BK32" i="88"/>
  <c r="BK26" i="88"/>
  <c r="BO49" i="88"/>
  <c r="BO32" i="88"/>
  <c r="BO26" i="88"/>
  <c r="BS49" i="88"/>
  <c r="BS32" i="88"/>
  <c r="BS26" i="88"/>
  <c r="BW49" i="88"/>
  <c r="BW32" i="88"/>
  <c r="BW26" i="88"/>
  <c r="CA49" i="88"/>
  <c r="CA32" i="88"/>
  <c r="CA26" i="88"/>
  <c r="CE49" i="88"/>
  <c r="CE32" i="88"/>
  <c r="CE26" i="88"/>
  <c r="CI49" i="88"/>
  <c r="CI32" i="88"/>
  <c r="CI26" i="88"/>
  <c r="CM15" i="88"/>
  <c r="V16" i="88"/>
  <c r="AL16" i="88"/>
  <c r="BB16" i="88"/>
  <c r="BR16" i="88"/>
  <c r="CH16" i="88"/>
  <c r="Q17" i="88"/>
  <c r="AG17" i="88"/>
  <c r="AW17" i="88"/>
  <c r="BM17" i="88"/>
  <c r="CC17" i="88"/>
  <c r="G18" i="88"/>
  <c r="W18" i="88"/>
  <c r="AM18" i="88"/>
  <c r="BC18" i="88"/>
  <c r="BS18" i="88"/>
  <c r="CI18" i="88"/>
  <c r="M19" i="88"/>
  <c r="AC19" i="88"/>
  <c r="AS19" i="88"/>
  <c r="BI19" i="88"/>
  <c r="BY19" i="88"/>
  <c r="S20" i="88"/>
  <c r="AI20" i="88"/>
  <c r="AY20" i="88"/>
  <c r="BO20" i="88"/>
  <c r="CE20" i="88"/>
  <c r="I21" i="88"/>
  <c r="Y21" i="88"/>
  <c r="AO21" i="88"/>
  <c r="BE21" i="88"/>
  <c r="BU21" i="88"/>
  <c r="CK21" i="88"/>
  <c r="O22" i="88"/>
  <c r="AE22" i="88"/>
  <c r="AU22" i="88"/>
  <c r="BK22" i="88"/>
  <c r="CA22" i="88"/>
  <c r="G50" i="88"/>
  <c r="K50" i="88"/>
  <c r="K52" i="88" s="1"/>
  <c r="O50" i="88"/>
  <c r="O52" i="88" s="1"/>
  <c r="S50" i="88"/>
  <c r="S52" i="88" s="1"/>
  <c r="W46" i="88"/>
  <c r="W29" i="88"/>
  <c r="AA46" i="88"/>
  <c r="AA29" i="88"/>
  <c r="AE46" i="88"/>
  <c r="AE29" i="88"/>
  <c r="AI46" i="88"/>
  <c r="AI29" i="88"/>
  <c r="AM46" i="88"/>
  <c r="AM29" i="88"/>
  <c r="AQ46" i="88"/>
  <c r="AQ29" i="88"/>
  <c r="AU46" i="88"/>
  <c r="AU29" i="88"/>
  <c r="AY46" i="88"/>
  <c r="AY29" i="88"/>
  <c r="BC46" i="88"/>
  <c r="BC29" i="88"/>
  <c r="BG46" i="88"/>
  <c r="BG29" i="88"/>
  <c r="BK46" i="88"/>
  <c r="BK29" i="88"/>
  <c r="BO46" i="88"/>
  <c r="BO29" i="88"/>
  <c r="BS46" i="88"/>
  <c r="BS29" i="88"/>
  <c r="BW46" i="88"/>
  <c r="BW29" i="88"/>
  <c r="CA46" i="88"/>
  <c r="CA29" i="88"/>
  <c r="CE46" i="88"/>
  <c r="CE29" i="88"/>
  <c r="CI46" i="88"/>
  <c r="CI29" i="88"/>
  <c r="CM12" i="88"/>
  <c r="V47" i="88"/>
  <c r="V30" i="88"/>
  <c r="Z47" i="88"/>
  <c r="Z30" i="88"/>
  <c r="AD47" i="88"/>
  <c r="AD30" i="88"/>
  <c r="AH47" i="88"/>
  <c r="AH30" i="88"/>
  <c r="AL47" i="88"/>
  <c r="AL30" i="88"/>
  <c r="AP47" i="88"/>
  <c r="AP30" i="88"/>
  <c r="AT47" i="88"/>
  <c r="AT30" i="88"/>
  <c r="AX47" i="88"/>
  <c r="AX30" i="88"/>
  <c r="BB47" i="88"/>
  <c r="BB30" i="88"/>
  <c r="BF47" i="88"/>
  <c r="BF30" i="88"/>
  <c r="BJ47" i="88"/>
  <c r="BJ30" i="88"/>
  <c r="BN47" i="88"/>
  <c r="BN30" i="88"/>
  <c r="BR47" i="88"/>
  <c r="BR30" i="88"/>
  <c r="BV47" i="88"/>
  <c r="BV30" i="88"/>
  <c r="BZ47" i="88"/>
  <c r="BZ30" i="88"/>
  <c r="CD47" i="88"/>
  <c r="CD30" i="88"/>
  <c r="CH47" i="88"/>
  <c r="CH30" i="88"/>
  <c r="CL47" i="88"/>
  <c r="CL30" i="88"/>
  <c r="T49" i="88"/>
  <c r="T32" i="88"/>
  <c r="T26" i="88"/>
  <c r="X49" i="88"/>
  <c r="X32" i="88"/>
  <c r="X26" i="88"/>
  <c r="AB49" i="88"/>
  <c r="AB32" i="88"/>
  <c r="AB26" i="88"/>
  <c r="AF49" i="88"/>
  <c r="AF32" i="88"/>
  <c r="AF26" i="88"/>
  <c r="AJ49" i="88"/>
  <c r="AJ32" i="88"/>
  <c r="AJ26" i="88"/>
  <c r="AN49" i="88"/>
  <c r="AN32" i="88"/>
  <c r="AN26" i="88"/>
  <c r="AR49" i="88"/>
  <c r="AR32" i="88"/>
  <c r="AR26" i="88"/>
  <c r="AV49" i="88"/>
  <c r="AV32" i="88"/>
  <c r="AV26" i="88"/>
  <c r="AZ49" i="88"/>
  <c r="AZ32" i="88"/>
  <c r="AZ26" i="88"/>
  <c r="BD49" i="88"/>
  <c r="BD32" i="88"/>
  <c r="BD26" i="88"/>
  <c r="BH49" i="88"/>
  <c r="BH32" i="88"/>
  <c r="BH26" i="88"/>
  <c r="BL49" i="88"/>
  <c r="BL32" i="88"/>
  <c r="BL26" i="88"/>
  <c r="BP49" i="88"/>
  <c r="BP32" i="88"/>
  <c r="BP26" i="88"/>
  <c r="BT49" i="88"/>
  <c r="BT32" i="88"/>
  <c r="BT26" i="88"/>
  <c r="BX49" i="88"/>
  <c r="BX32" i="88"/>
  <c r="BX26" i="88"/>
  <c r="CB49" i="88"/>
  <c r="CB32" i="88"/>
  <c r="CB26" i="88"/>
  <c r="CF49" i="88"/>
  <c r="CF32" i="88"/>
  <c r="CF26" i="88"/>
  <c r="CJ49" i="88"/>
  <c r="CJ32" i="88"/>
  <c r="CJ26" i="88"/>
  <c r="G16" i="88"/>
  <c r="K16" i="88"/>
  <c r="O16" i="88"/>
  <c r="S16" i="88"/>
  <c r="W16" i="88"/>
  <c r="AA16" i="88"/>
  <c r="AE16" i="88"/>
  <c r="AI16" i="88"/>
  <c r="AM16" i="88"/>
  <c r="AQ16" i="88"/>
  <c r="AU16" i="88"/>
  <c r="AY16" i="88"/>
  <c r="BC16" i="88"/>
  <c r="BG16" i="88"/>
  <c r="BK16" i="88"/>
  <c r="BO16" i="88"/>
  <c r="BS16" i="88"/>
  <c r="BW16" i="88"/>
  <c r="CA16" i="88"/>
  <c r="CE16" i="88"/>
  <c r="CI16" i="88"/>
  <c r="H18" i="88"/>
  <c r="L18" i="88"/>
  <c r="P18" i="88"/>
  <c r="T18" i="88"/>
  <c r="X18" i="88"/>
  <c r="AB18" i="88"/>
  <c r="AF18" i="88"/>
  <c r="AJ18" i="88"/>
  <c r="AN18" i="88"/>
  <c r="AR18" i="88"/>
  <c r="AV18" i="88"/>
  <c r="AZ18" i="88"/>
  <c r="BD18" i="88"/>
  <c r="BH18" i="88"/>
  <c r="BL18" i="88"/>
  <c r="BP18" i="88"/>
  <c r="BT18" i="88"/>
  <c r="BX18" i="88"/>
  <c r="CB18" i="88"/>
  <c r="CF18" i="88"/>
  <c r="CJ18" i="88"/>
  <c r="H20" i="88"/>
  <c r="L20" i="88"/>
  <c r="P20" i="88"/>
  <c r="T20" i="88"/>
  <c r="X20" i="88"/>
  <c r="AB20" i="88"/>
  <c r="AF20" i="88"/>
  <c r="AJ20" i="88"/>
  <c r="AN20" i="88"/>
  <c r="AR20" i="88"/>
  <c r="AV20" i="88"/>
  <c r="AZ20" i="88"/>
  <c r="BD20" i="88"/>
  <c r="BH20" i="88"/>
  <c r="BL20" i="88"/>
  <c r="BP20" i="88"/>
  <c r="BT20" i="88"/>
  <c r="BX20" i="88"/>
  <c r="CB20" i="88"/>
  <c r="CF20" i="88"/>
  <c r="CJ20" i="88"/>
  <c r="H22" i="88"/>
  <c r="L22" i="88"/>
  <c r="P22" i="88"/>
  <c r="X22" i="88"/>
  <c r="AN22" i="88"/>
  <c r="BD22" i="88"/>
  <c r="BT22" i="88"/>
  <c r="CJ22" i="88"/>
  <c r="U25" i="88"/>
  <c r="Y25" i="88"/>
  <c r="AC25" i="88"/>
  <c r="AG25" i="88"/>
  <c r="AK25" i="88"/>
  <c r="AO25" i="88"/>
  <c r="BE25" i="88"/>
  <c r="BJ25" i="88"/>
  <c r="BU25" i="88"/>
  <c r="CK25" i="88"/>
  <c r="AG26" i="88"/>
  <c r="AW26" i="88"/>
  <c r="BM26" i="88"/>
  <c r="U29" i="88"/>
  <c r="AK29" i="88"/>
  <c r="BA29" i="88"/>
  <c r="BQ29" i="88"/>
  <c r="CG29" i="88"/>
  <c r="U31" i="88"/>
  <c r="AK31" i="88"/>
  <c r="BA31" i="88"/>
  <c r="BQ31" i="88"/>
  <c r="CG31" i="88"/>
  <c r="AC32" i="88"/>
  <c r="AS32" i="88"/>
  <c r="BI32" i="88"/>
  <c r="BY32" i="88"/>
  <c r="X46" i="88"/>
  <c r="CJ46" i="88"/>
  <c r="BJ48" i="88"/>
  <c r="L50" i="88"/>
  <c r="L52" i="88" s="1"/>
  <c r="P50" i="88"/>
  <c r="P52" i="88" s="1"/>
  <c r="T46" i="88"/>
  <c r="T29" i="88"/>
  <c r="AB29" i="88"/>
  <c r="AB46" i="88"/>
  <c r="AF29" i="88"/>
  <c r="AF46" i="88"/>
  <c r="AJ46" i="88"/>
  <c r="AJ29" i="88"/>
  <c r="AR29" i="88"/>
  <c r="AR46" i="88"/>
  <c r="AV29" i="88"/>
  <c r="AV46" i="88"/>
  <c r="AZ46" i="88"/>
  <c r="AZ29" i="88"/>
  <c r="BH29" i="88"/>
  <c r="BH46" i="88"/>
  <c r="BL29" i="88"/>
  <c r="BL46" i="88"/>
  <c r="BP46" i="88"/>
  <c r="BP29" i="88"/>
  <c r="BX29" i="88"/>
  <c r="BX46" i="88"/>
  <c r="CB29" i="88"/>
  <c r="CB46" i="88"/>
  <c r="CF46" i="88"/>
  <c r="CF29" i="88"/>
  <c r="W47" i="88"/>
  <c r="W30" i="88"/>
  <c r="AA47" i="88"/>
  <c r="AA30" i="88"/>
  <c r="AE47" i="88"/>
  <c r="AE30" i="88"/>
  <c r="AM47" i="88"/>
  <c r="AM30" i="88"/>
  <c r="AQ30" i="88"/>
  <c r="AQ47" i="88"/>
  <c r="AU47" i="88"/>
  <c r="AU30" i="88"/>
  <c r="AY47" i="88"/>
  <c r="AY30" i="88"/>
  <c r="BC47" i="88"/>
  <c r="BC30" i="88"/>
  <c r="BG47" i="88"/>
  <c r="BG30" i="88"/>
  <c r="BK47" i="88"/>
  <c r="BK30" i="88"/>
  <c r="BS47" i="88"/>
  <c r="BS30" i="88"/>
  <c r="BW30" i="88"/>
  <c r="BW47" i="88"/>
  <c r="CA47" i="88"/>
  <c r="CA30" i="88"/>
  <c r="CE47" i="88"/>
  <c r="CE30" i="88"/>
  <c r="CI47" i="88"/>
  <c r="CI30" i="88"/>
  <c r="CM13" i="88"/>
  <c r="V48" i="88"/>
  <c r="V31" i="88"/>
  <c r="Z48" i="88"/>
  <c r="Z31" i="88"/>
  <c r="AD48" i="88"/>
  <c r="AD31" i="88"/>
  <c r="AH48" i="88"/>
  <c r="AH31" i="88"/>
  <c r="AL48" i="88"/>
  <c r="AL31" i="88"/>
  <c r="AP48" i="88"/>
  <c r="AP31" i="88"/>
  <c r="AT48" i="88"/>
  <c r="AT31" i="88"/>
  <c r="AX48" i="88"/>
  <c r="AX31" i="88"/>
  <c r="BB48" i="88"/>
  <c r="BB31" i="88"/>
  <c r="BF48" i="88"/>
  <c r="BF31" i="88"/>
  <c r="BN48" i="88"/>
  <c r="BN31" i="88"/>
  <c r="BR48" i="88"/>
  <c r="BR31" i="88"/>
  <c r="BV48" i="88"/>
  <c r="BV31" i="88"/>
  <c r="BZ48" i="88"/>
  <c r="BZ31" i="88"/>
  <c r="CD48" i="88"/>
  <c r="CD31" i="88"/>
  <c r="CH48" i="88"/>
  <c r="CH31" i="88"/>
  <c r="CL48" i="88"/>
  <c r="CL31" i="88"/>
  <c r="H16" i="88"/>
  <c r="L16" i="88"/>
  <c r="P16" i="88"/>
  <c r="T16" i="88"/>
  <c r="X16" i="88"/>
  <c r="AB16" i="88"/>
  <c r="AF16" i="88"/>
  <c r="AJ16" i="88"/>
  <c r="AN16" i="88"/>
  <c r="AR16" i="88"/>
  <c r="AV16" i="88"/>
  <c r="AZ16" i="88"/>
  <c r="BD16" i="88"/>
  <c r="BH16" i="88"/>
  <c r="BL16" i="88"/>
  <c r="BP16" i="88"/>
  <c r="BT16" i="88"/>
  <c r="BX16" i="88"/>
  <c r="CB16" i="88"/>
  <c r="CF16" i="88"/>
  <c r="CJ16" i="88"/>
  <c r="G17" i="88"/>
  <c r="K17" i="88"/>
  <c r="O17" i="88"/>
  <c r="S17" i="88"/>
  <c r="W17" i="88"/>
  <c r="AA17" i="88"/>
  <c r="AA66" i="88" s="1"/>
  <c r="AE17" i="88"/>
  <c r="AI17" i="88"/>
  <c r="AM17" i="88"/>
  <c r="AQ17" i="88"/>
  <c r="AU17" i="88"/>
  <c r="AY17" i="88"/>
  <c r="BC17" i="88"/>
  <c r="BG17" i="88"/>
  <c r="BG66" i="88" s="1"/>
  <c r="BK17" i="88"/>
  <c r="BO17" i="88"/>
  <c r="BS17" i="88"/>
  <c r="BW17" i="88"/>
  <c r="CA17" i="88"/>
  <c r="CE17" i="88"/>
  <c r="CI17" i="88"/>
  <c r="I18" i="88"/>
  <c r="M18" i="88"/>
  <c r="Q18" i="88"/>
  <c r="U18" i="88"/>
  <c r="Y18" i="88"/>
  <c r="AC18" i="88"/>
  <c r="AG18" i="88"/>
  <c r="AK18" i="88"/>
  <c r="AO18" i="88"/>
  <c r="AS18" i="88"/>
  <c r="AW18" i="88"/>
  <c r="BA18" i="88"/>
  <c r="BE18" i="88"/>
  <c r="BI18" i="88"/>
  <c r="BM18" i="88"/>
  <c r="BQ18" i="88"/>
  <c r="BU18" i="88"/>
  <c r="BY18" i="88"/>
  <c r="CC18" i="88"/>
  <c r="CG18" i="88"/>
  <c r="CK18" i="88"/>
  <c r="G19" i="88"/>
  <c r="K19" i="88"/>
  <c r="O19" i="88"/>
  <c r="S19" i="88"/>
  <c r="W19" i="88"/>
  <c r="AA19" i="88"/>
  <c r="AE19" i="88"/>
  <c r="AI19" i="88"/>
  <c r="AM19" i="88"/>
  <c r="AQ19" i="88"/>
  <c r="AU19" i="88"/>
  <c r="AY19" i="88"/>
  <c r="BC19" i="88"/>
  <c r="BG19" i="88"/>
  <c r="BK19" i="88"/>
  <c r="BO19" i="88"/>
  <c r="BS19" i="88"/>
  <c r="BW19" i="88"/>
  <c r="CA19" i="88"/>
  <c r="CE19" i="88"/>
  <c r="CI19" i="88"/>
  <c r="I20" i="88"/>
  <c r="M20" i="88"/>
  <c r="Q20" i="88"/>
  <c r="U20" i="88"/>
  <c r="Y20" i="88"/>
  <c r="AC20" i="88"/>
  <c r="AG20" i="88"/>
  <c r="AK20" i="88"/>
  <c r="AO20" i="88"/>
  <c r="AS20" i="88"/>
  <c r="AW20" i="88"/>
  <c r="BA20" i="88"/>
  <c r="BE20" i="88"/>
  <c r="BI20" i="88"/>
  <c r="BM20" i="88"/>
  <c r="BQ20" i="88"/>
  <c r="BU20" i="88"/>
  <c r="BY20" i="88"/>
  <c r="CC20" i="88"/>
  <c r="CG20" i="88"/>
  <c r="CK20" i="88"/>
  <c r="G21" i="88"/>
  <c r="K21" i="88"/>
  <c r="O21" i="88"/>
  <c r="S21" i="88"/>
  <c r="W21" i="88"/>
  <c r="AA21" i="88"/>
  <c r="AE21" i="88"/>
  <c r="AI21" i="88"/>
  <c r="AM21" i="88"/>
  <c r="AQ21" i="88"/>
  <c r="AU21" i="88"/>
  <c r="AY21" i="88"/>
  <c r="BC21" i="88"/>
  <c r="BG21" i="88"/>
  <c r="BK21" i="88"/>
  <c r="BO21" i="88"/>
  <c r="BS21" i="88"/>
  <c r="BW21" i="88"/>
  <c r="CA21" i="88"/>
  <c r="CE21" i="88"/>
  <c r="CI21" i="88"/>
  <c r="I22" i="88"/>
  <c r="M22" i="88"/>
  <c r="Q22" i="88"/>
  <c r="U22" i="88"/>
  <c r="Y22" i="88"/>
  <c r="AC22" i="88"/>
  <c r="AG22" i="88"/>
  <c r="AK22" i="88"/>
  <c r="AO22" i="88"/>
  <c r="AS22" i="88"/>
  <c r="AW22" i="88"/>
  <c r="BA22" i="88"/>
  <c r="BE22" i="88"/>
  <c r="BI22" i="88"/>
  <c r="BM22" i="88"/>
  <c r="BQ22" i="88"/>
  <c r="BU22" i="88"/>
  <c r="BY22" i="88"/>
  <c r="CC22" i="88"/>
  <c r="CG22" i="88"/>
  <c r="CK22" i="88"/>
  <c r="V24" i="88"/>
  <c r="Z24" i="88"/>
  <c r="AD24" i="88"/>
  <c r="AH24" i="88"/>
  <c r="AL24" i="88"/>
  <c r="AP24" i="88"/>
  <c r="AT24" i="88"/>
  <c r="AX24" i="88"/>
  <c r="BB24" i="88"/>
  <c r="BF24" i="88"/>
  <c r="BJ24" i="88"/>
  <c r="BN24" i="88"/>
  <c r="BR24" i="88"/>
  <c r="BV24" i="88"/>
  <c r="BZ24" i="88"/>
  <c r="CD24" i="88"/>
  <c r="CH24" i="88"/>
  <c r="CL24" i="88"/>
  <c r="V25" i="88"/>
  <c r="Z25" i="88"/>
  <c r="AD25" i="88"/>
  <c r="AH25" i="88"/>
  <c r="AL25" i="88"/>
  <c r="AP25" i="88"/>
  <c r="BA25" i="88"/>
  <c r="BF25" i="88"/>
  <c r="BQ25" i="88"/>
  <c r="BV25" i="88"/>
  <c r="CG25" i="88"/>
  <c r="CL25" i="88"/>
  <c r="AC26" i="88"/>
  <c r="AS26" i="88"/>
  <c r="BI26" i="88"/>
  <c r="BY26" i="88"/>
  <c r="CG26" i="88"/>
  <c r="Y29" i="88"/>
  <c r="AO29" i="88"/>
  <c r="BE29" i="88"/>
  <c r="BU29" i="88"/>
  <c r="CK29" i="88"/>
  <c r="Y31" i="88"/>
  <c r="AO31" i="88"/>
  <c r="BE31" i="88"/>
  <c r="BU31" i="88"/>
  <c r="CK31" i="88"/>
  <c r="AG32" i="88"/>
  <c r="AW32" i="88"/>
  <c r="BM32" i="88"/>
  <c r="CC32" i="88"/>
  <c r="AN46" i="88"/>
  <c r="AI47" i="88"/>
  <c r="AO49" i="88"/>
  <c r="AO51" i="88" s="1"/>
  <c r="AO53" i="88" s="1"/>
  <c r="J51" i="88"/>
  <c r="J53" i="88" s="1"/>
  <c r="CK51" i="88"/>
  <c r="CK53" i="88" s="1"/>
  <c r="BU51" i="88"/>
  <c r="BU53" i="88" s="1"/>
  <c r="BE51" i="88"/>
  <c r="BE53" i="88" s="1"/>
  <c r="Y51" i="88"/>
  <c r="Y53" i="88" s="1"/>
  <c r="Q51" i="88"/>
  <c r="Q53" i="88" s="1"/>
  <c r="M51" i="88"/>
  <c r="M53" i="88" s="1"/>
  <c r="I51" i="88"/>
  <c r="I53" i="88" s="1"/>
  <c r="P51" i="88"/>
  <c r="P53" i="88" s="1"/>
  <c r="L51" i="88"/>
  <c r="L53" i="88" s="1"/>
  <c r="K51" i="88"/>
  <c r="K53" i="88" s="1"/>
  <c r="G51" i="88"/>
  <c r="S51" i="88"/>
  <c r="S53" i="88" s="1"/>
  <c r="O51" i="88"/>
  <c r="O53" i="88" s="1"/>
  <c r="I50" i="88"/>
  <c r="I52" i="88" s="1"/>
  <c r="M50" i="88"/>
  <c r="M52" i="88" s="1"/>
  <c r="Q50" i="88"/>
  <c r="Q52" i="88" s="1"/>
  <c r="Y50" i="88"/>
  <c r="Y52" i="88" s="1"/>
  <c r="BA50" i="88"/>
  <c r="BA52" i="88" s="1"/>
  <c r="BE50" i="88"/>
  <c r="BE52" i="88" s="1"/>
  <c r="BU50" i="88"/>
  <c r="BU52" i="88" s="1"/>
  <c r="CG50" i="88"/>
  <c r="CG52" i="88" s="1"/>
  <c r="CK50" i="88"/>
  <c r="CK52" i="88" s="1"/>
  <c r="T47" i="88"/>
  <c r="T30" i="88"/>
  <c r="X47" i="88"/>
  <c r="X30" i="88"/>
  <c r="AB47" i="88"/>
  <c r="AB30" i="88"/>
  <c r="AF47" i="88"/>
  <c r="AF30" i="88"/>
  <c r="AJ47" i="88"/>
  <c r="AJ30" i="88"/>
  <c r="AN47" i="88"/>
  <c r="AN30" i="88"/>
  <c r="AR47" i="88"/>
  <c r="AR30" i="88"/>
  <c r="AV47" i="88"/>
  <c r="AV30" i="88"/>
  <c r="AZ47" i="88"/>
  <c r="AZ30" i="88"/>
  <c r="BD47" i="88"/>
  <c r="BD30" i="88"/>
  <c r="BH47" i="88"/>
  <c r="BH30" i="88"/>
  <c r="BL47" i="88"/>
  <c r="BL30" i="88"/>
  <c r="BP47" i="88"/>
  <c r="BP30" i="88"/>
  <c r="BT47" i="88"/>
  <c r="BT30" i="88"/>
  <c r="BX47" i="88"/>
  <c r="BX30" i="88"/>
  <c r="CB47" i="88"/>
  <c r="CB30" i="88"/>
  <c r="CF47" i="88"/>
  <c r="CF30" i="88"/>
  <c r="CJ47" i="88"/>
  <c r="CJ30" i="88"/>
  <c r="W48" i="88"/>
  <c r="W31" i="88"/>
  <c r="AA48" i="88"/>
  <c r="AA31" i="88"/>
  <c r="AE48" i="88"/>
  <c r="AE31" i="88"/>
  <c r="AI48" i="88"/>
  <c r="AI31" i="88"/>
  <c r="AM48" i="88"/>
  <c r="AM31" i="88"/>
  <c r="AQ48" i="88"/>
  <c r="AQ31" i="88"/>
  <c r="AU48" i="88"/>
  <c r="AU31" i="88"/>
  <c r="AY48" i="88"/>
  <c r="AY31" i="88"/>
  <c r="BC48" i="88"/>
  <c r="BC31" i="88"/>
  <c r="BG48" i="88"/>
  <c r="BG31" i="88"/>
  <c r="BK48" i="88"/>
  <c r="BK31" i="88"/>
  <c r="BO48" i="88"/>
  <c r="BO31" i="88"/>
  <c r="BS48" i="88"/>
  <c r="BS31" i="88"/>
  <c r="BW48" i="88"/>
  <c r="BW31" i="88"/>
  <c r="CA48" i="88"/>
  <c r="CA31" i="88"/>
  <c r="CE48" i="88"/>
  <c r="CE31" i="88"/>
  <c r="CI48" i="88"/>
  <c r="CI31" i="88"/>
  <c r="CM14" i="88"/>
  <c r="V49" i="88"/>
  <c r="V32" i="88"/>
  <c r="Z49" i="88"/>
  <c r="Z32" i="88"/>
  <c r="AD49" i="88"/>
  <c r="AD32" i="88"/>
  <c r="AH49" i="88"/>
  <c r="AH32" i="88"/>
  <c r="AL49" i="88"/>
  <c r="AL32" i="88"/>
  <c r="AP49" i="88"/>
  <c r="AP32" i="88"/>
  <c r="AT49" i="88"/>
  <c r="AT32" i="88"/>
  <c r="AX49" i="88"/>
  <c r="AX32" i="88"/>
  <c r="BB49" i="88"/>
  <c r="BB32" i="88"/>
  <c r="BF49" i="88"/>
  <c r="BF32" i="88"/>
  <c r="BJ49" i="88"/>
  <c r="BJ32" i="88"/>
  <c r="BN49" i="88"/>
  <c r="BN32" i="88"/>
  <c r="BR49" i="88"/>
  <c r="BR51" i="88" s="1"/>
  <c r="BR53" i="88" s="1"/>
  <c r="BR32" i="88"/>
  <c r="BV49" i="88"/>
  <c r="BV32" i="88"/>
  <c r="BZ49" i="88"/>
  <c r="BZ32" i="88"/>
  <c r="BZ26" i="88"/>
  <c r="CD49" i="88"/>
  <c r="CD32" i="88"/>
  <c r="CD26" i="88"/>
  <c r="CH49" i="88"/>
  <c r="CH51" i="88" s="1"/>
  <c r="CH53" i="88" s="1"/>
  <c r="CH32" i="88"/>
  <c r="CH26" i="88"/>
  <c r="CL49" i="88"/>
  <c r="CL32" i="88"/>
  <c r="CL26" i="88"/>
  <c r="I16" i="88"/>
  <c r="M16" i="88"/>
  <c r="Q16" i="88"/>
  <c r="U16" i="88"/>
  <c r="Y16" i="88"/>
  <c r="AC16" i="88"/>
  <c r="AG16" i="88"/>
  <c r="AK16" i="88"/>
  <c r="AK66" i="88" s="1"/>
  <c r="AO16" i="88"/>
  <c r="AS16" i="88"/>
  <c r="AW16" i="88"/>
  <c r="BA16" i="88"/>
  <c r="BE16" i="88"/>
  <c r="BI16" i="88"/>
  <c r="BM16" i="88"/>
  <c r="BQ16" i="88"/>
  <c r="BU16" i="88"/>
  <c r="BY16" i="88"/>
  <c r="CC16" i="88"/>
  <c r="CG16" i="88"/>
  <c r="CK16" i="88"/>
  <c r="H17" i="88"/>
  <c r="L17" i="88"/>
  <c r="P17" i="88"/>
  <c r="T17" i="88"/>
  <c r="T66" i="88" s="1"/>
  <c r="X17" i="88"/>
  <c r="X66" i="88" s="1"/>
  <c r="AB17" i="88"/>
  <c r="AF17" i="88"/>
  <c r="AJ17" i="88"/>
  <c r="AN17" i="88"/>
  <c r="AR17" i="88"/>
  <c r="AV17" i="88"/>
  <c r="AZ17" i="88"/>
  <c r="AZ66" i="88" s="1"/>
  <c r="BD17" i="88"/>
  <c r="BD66" i="88" s="1"/>
  <c r="BH17" i="88"/>
  <c r="BL17" i="88"/>
  <c r="BP17" i="88"/>
  <c r="BT17" i="88"/>
  <c r="BX17" i="88"/>
  <c r="CB17" i="88"/>
  <c r="CF17" i="88"/>
  <c r="CF66" i="88" s="1"/>
  <c r="CJ17" i="88"/>
  <c r="CJ66" i="88" s="1"/>
  <c r="H19" i="88"/>
  <c r="L19" i="88"/>
  <c r="P19" i="88"/>
  <c r="T19" i="88"/>
  <c r="X19" i="88"/>
  <c r="AB19" i="88"/>
  <c r="AF19" i="88"/>
  <c r="AJ19" i="88"/>
  <c r="AN19" i="88"/>
  <c r="AR19" i="88"/>
  <c r="AV19" i="88"/>
  <c r="AZ19" i="88"/>
  <c r="BD19" i="88"/>
  <c r="BH19" i="88"/>
  <c r="BL19" i="88"/>
  <c r="BP19" i="88"/>
  <c r="BT19" i="88"/>
  <c r="BX19" i="88"/>
  <c r="CB19" i="88"/>
  <c r="CF19" i="88"/>
  <c r="CJ19" i="88"/>
  <c r="L21" i="88"/>
  <c r="P21" i="88"/>
  <c r="T21" i="88"/>
  <c r="X21" i="88"/>
  <c r="AB21" i="88"/>
  <c r="AF21" i="88"/>
  <c r="AJ21" i="88"/>
  <c r="AN21" i="88"/>
  <c r="AR21" i="88"/>
  <c r="AV21" i="88"/>
  <c r="AZ21" i="88"/>
  <c r="BD21" i="88"/>
  <c r="BH21" i="88"/>
  <c r="BL21" i="88"/>
  <c r="BP21" i="88"/>
  <c r="BT21" i="88"/>
  <c r="BX21" i="88"/>
  <c r="CB21" i="88"/>
  <c r="CF21" i="88"/>
  <c r="CJ21" i="88"/>
  <c r="W24" i="88"/>
  <c r="AA24" i="88"/>
  <c r="AE24" i="88"/>
  <c r="AI24" i="88"/>
  <c r="AM24" i="88"/>
  <c r="AQ24" i="88"/>
  <c r="AU24" i="88"/>
  <c r="AY24" i="88"/>
  <c r="BC24" i="88"/>
  <c r="BG24" i="88"/>
  <c r="BK24" i="88"/>
  <c r="BO24" i="88"/>
  <c r="BS24" i="88"/>
  <c r="BW24" i="88"/>
  <c r="CA24" i="88"/>
  <c r="CE24" i="88"/>
  <c r="CI24" i="88"/>
  <c r="W25" i="88"/>
  <c r="AA25" i="88"/>
  <c r="AE25" i="88"/>
  <c r="AI25" i="88"/>
  <c r="AM25" i="88"/>
  <c r="AQ25" i="88"/>
  <c r="AW25" i="88"/>
  <c r="BB25" i="88"/>
  <c r="BG25" i="88"/>
  <c r="BM25" i="88"/>
  <c r="BR25" i="88"/>
  <c r="BW25" i="88"/>
  <c r="CC25" i="88"/>
  <c r="CH25" i="88"/>
  <c r="Y26" i="88"/>
  <c r="AD26" i="88"/>
  <c r="AT26" i="88"/>
  <c r="BE26" i="88"/>
  <c r="BJ26" i="88"/>
  <c r="BU26" i="88"/>
  <c r="AC29" i="88"/>
  <c r="AS29" i="88"/>
  <c r="BI29" i="88"/>
  <c r="BY29" i="88"/>
  <c r="AC31" i="88"/>
  <c r="AS31" i="88"/>
  <c r="BI31" i="88"/>
  <c r="BY31" i="88"/>
  <c r="U32" i="88"/>
  <c r="AK32" i="88"/>
  <c r="BA32" i="88"/>
  <c r="BQ32" i="88"/>
  <c r="CG32" i="88"/>
  <c r="BD46" i="88"/>
  <c r="BO47" i="88"/>
  <c r="FV41" i="88"/>
  <c r="R55" i="83"/>
  <c r="M55" i="83"/>
  <c r="J46" i="83"/>
  <c r="N46" i="83"/>
  <c r="R46" i="83"/>
  <c r="V46" i="83"/>
  <c r="Z46" i="83"/>
  <c r="AD46" i="83"/>
  <c r="AH46" i="83"/>
  <c r="AL46" i="83"/>
  <c r="AP46" i="83"/>
  <c r="AT46" i="83"/>
  <c r="AX46" i="83"/>
  <c r="BB46" i="83"/>
  <c r="BF46" i="83"/>
  <c r="BJ46" i="83"/>
  <c r="BN46" i="83"/>
  <c r="BR46" i="83"/>
  <c r="BV46" i="83"/>
  <c r="BZ46" i="83"/>
  <c r="CD46" i="83"/>
  <c r="CH46" i="83"/>
  <c r="CL46" i="83"/>
  <c r="U47" i="83"/>
  <c r="Y47" i="83"/>
  <c r="AC47" i="83"/>
  <c r="AG47" i="83"/>
  <c r="AK47" i="83"/>
  <c r="AO47" i="83"/>
  <c r="AS47" i="83"/>
  <c r="AW47" i="83"/>
  <c r="BA47" i="83"/>
  <c r="BE47" i="83"/>
  <c r="BI47" i="83"/>
  <c r="BM47" i="83"/>
  <c r="BQ47" i="83"/>
  <c r="BU47" i="83"/>
  <c r="BY47" i="83"/>
  <c r="CC47" i="83"/>
  <c r="CG47" i="83"/>
  <c r="CK47" i="83"/>
  <c r="T48" i="83"/>
  <c r="X48" i="83"/>
  <c r="AB48" i="83"/>
  <c r="AF48" i="83"/>
  <c r="AJ48" i="83"/>
  <c r="AN48" i="83"/>
  <c r="AR48" i="83"/>
  <c r="AV48" i="83"/>
  <c r="AZ48" i="83"/>
  <c r="BD48" i="83"/>
  <c r="BH48" i="83"/>
  <c r="BL48" i="83"/>
  <c r="BP48" i="83"/>
  <c r="BT48" i="83"/>
  <c r="BX48" i="83"/>
  <c r="CB48" i="83"/>
  <c r="CF48" i="83"/>
  <c r="CJ48" i="83"/>
  <c r="W49" i="83"/>
  <c r="AA49" i="83"/>
  <c r="AE49" i="83"/>
  <c r="AI49" i="83"/>
  <c r="AM49" i="83"/>
  <c r="AQ49" i="83"/>
  <c r="AU49" i="83"/>
  <c r="AY49" i="83"/>
  <c r="BC49" i="83"/>
  <c r="BG49" i="83"/>
  <c r="BK49" i="83"/>
  <c r="BO49" i="83"/>
  <c r="BS49" i="83"/>
  <c r="BW49" i="83"/>
  <c r="CA49" i="83"/>
  <c r="CE49" i="83"/>
  <c r="CI49" i="83"/>
  <c r="G46" i="83"/>
  <c r="K46" i="83"/>
  <c r="O46" i="83"/>
  <c r="S46" i="83"/>
  <c r="W46" i="83"/>
  <c r="AA46" i="83"/>
  <c r="AE46" i="83"/>
  <c r="AI46" i="83"/>
  <c r="AM46" i="83"/>
  <c r="AQ46" i="83"/>
  <c r="AU46" i="83"/>
  <c r="AY46" i="83"/>
  <c r="BC46" i="83"/>
  <c r="BG46" i="83"/>
  <c r="BK46" i="83"/>
  <c r="BO46" i="83"/>
  <c r="BS46" i="83"/>
  <c r="BW46" i="83"/>
  <c r="CA46" i="83"/>
  <c r="CE46" i="83"/>
  <c r="CI46" i="83"/>
  <c r="V47" i="83"/>
  <c r="Z47" i="83"/>
  <c r="AD47" i="83"/>
  <c r="AH47" i="83"/>
  <c r="AL47" i="83"/>
  <c r="AP47" i="83"/>
  <c r="AT47" i="83"/>
  <c r="AX47" i="83"/>
  <c r="BB47" i="83"/>
  <c r="BF47" i="83"/>
  <c r="BJ47" i="83"/>
  <c r="BN47" i="83"/>
  <c r="BR47" i="83"/>
  <c r="BV47" i="83"/>
  <c r="BZ47" i="83"/>
  <c r="CD47" i="83"/>
  <c r="CH47" i="83"/>
  <c r="CL47" i="83"/>
  <c r="U48" i="83"/>
  <c r="Y48" i="83"/>
  <c r="AC48" i="83"/>
  <c r="AG48" i="83"/>
  <c r="AK48" i="83"/>
  <c r="AO48" i="83"/>
  <c r="AS48" i="83"/>
  <c r="AW48" i="83"/>
  <c r="BA48" i="83"/>
  <c r="BE48" i="83"/>
  <c r="BI48" i="83"/>
  <c r="BM48" i="83"/>
  <c r="BQ48" i="83"/>
  <c r="BU48" i="83"/>
  <c r="BY48" i="83"/>
  <c r="CC48" i="83"/>
  <c r="CG48" i="83"/>
  <c r="CK48" i="83"/>
  <c r="T49" i="83"/>
  <c r="X49" i="83"/>
  <c r="AB49" i="83"/>
  <c r="AF49" i="83"/>
  <c r="AJ49" i="83"/>
  <c r="AN49" i="83"/>
  <c r="AR49" i="83"/>
  <c r="AV49" i="83"/>
  <c r="AZ49" i="83"/>
  <c r="BD49" i="83"/>
  <c r="BH49" i="83"/>
  <c r="BL49" i="83"/>
  <c r="BP49" i="83"/>
  <c r="BT49" i="83"/>
  <c r="BX49" i="83"/>
  <c r="CB49" i="83"/>
  <c r="CF49" i="83"/>
  <c r="CJ49" i="83"/>
  <c r="J64" i="83"/>
  <c r="N64" i="83"/>
  <c r="V64" i="83"/>
  <c r="Z64" i="83"/>
  <c r="AD64" i="83"/>
  <c r="AL64" i="83"/>
  <c r="AP64" i="83"/>
  <c r="AT64" i="83"/>
  <c r="BB64" i="83"/>
  <c r="BF64" i="83"/>
  <c r="BJ64" i="83"/>
  <c r="BR64" i="83"/>
  <c r="BV64" i="83"/>
  <c r="BZ64" i="83"/>
  <c r="CH64" i="83"/>
  <c r="CL64" i="83"/>
  <c r="H46" i="83"/>
  <c r="L46" i="83"/>
  <c r="P46" i="83"/>
  <c r="T46" i="83"/>
  <c r="X46" i="83"/>
  <c r="AB46" i="83"/>
  <c r="AF46" i="83"/>
  <c r="AJ46" i="83"/>
  <c r="AN46" i="83"/>
  <c r="AR46" i="83"/>
  <c r="AV46" i="83"/>
  <c r="AZ46" i="83"/>
  <c r="BD46" i="83"/>
  <c r="BH46" i="83"/>
  <c r="BL46" i="83"/>
  <c r="BP46" i="83"/>
  <c r="BT46" i="83"/>
  <c r="BX46" i="83"/>
  <c r="CB46" i="83"/>
  <c r="CF46" i="83"/>
  <c r="CJ46" i="83"/>
  <c r="W47" i="83"/>
  <c r="AA47" i="83"/>
  <c r="AE47" i="83"/>
  <c r="AI47" i="83"/>
  <c r="AM47" i="83"/>
  <c r="AQ47" i="83"/>
  <c r="AU47" i="83"/>
  <c r="AY47" i="83"/>
  <c r="BC47" i="83"/>
  <c r="BG47" i="83"/>
  <c r="BK47" i="83"/>
  <c r="BO47" i="83"/>
  <c r="BS47" i="83"/>
  <c r="BW47" i="83"/>
  <c r="CA47" i="83"/>
  <c r="CE47" i="83"/>
  <c r="CI47" i="83"/>
  <c r="V48" i="83"/>
  <c r="Z48" i="83"/>
  <c r="AD48" i="83"/>
  <c r="AH48" i="83"/>
  <c r="AL48" i="83"/>
  <c r="AP48" i="83"/>
  <c r="AT48" i="83"/>
  <c r="AX48" i="83"/>
  <c r="BB48" i="83"/>
  <c r="BF48" i="83"/>
  <c r="BJ48" i="83"/>
  <c r="BN48" i="83"/>
  <c r="BR48" i="83"/>
  <c r="BV48" i="83"/>
  <c r="BZ48" i="83"/>
  <c r="CD48" i="83"/>
  <c r="CH48" i="83"/>
  <c r="CL48" i="83"/>
  <c r="U49" i="83"/>
  <c r="Y49" i="83"/>
  <c r="AC49" i="83"/>
  <c r="AG49" i="83"/>
  <c r="AK49" i="83"/>
  <c r="AO49" i="83"/>
  <c r="AS49" i="83"/>
  <c r="AW49" i="83"/>
  <c r="BA49" i="83"/>
  <c r="BE49" i="83"/>
  <c r="BI49" i="83"/>
  <c r="BM49" i="83"/>
  <c r="BQ49" i="83"/>
  <c r="BU49" i="83"/>
  <c r="BY49" i="83"/>
  <c r="CC49" i="83"/>
  <c r="CG49" i="83"/>
  <c r="CK49" i="83"/>
  <c r="K64" i="83"/>
  <c r="O64" i="83"/>
  <c r="S64" i="83"/>
  <c r="AA64" i="83"/>
  <c r="AE64" i="83"/>
  <c r="AI64" i="83"/>
  <c r="AQ64" i="83"/>
  <c r="AU64" i="83"/>
  <c r="AY64" i="83"/>
  <c r="BG64" i="83"/>
  <c r="BK64" i="83"/>
  <c r="BO64" i="83"/>
  <c r="BW64" i="83"/>
  <c r="CA64" i="83"/>
  <c r="CE64" i="83"/>
  <c r="I46" i="83"/>
  <c r="M46" i="83"/>
  <c r="Q46" i="83"/>
  <c r="U46" i="83"/>
  <c r="Y46" i="83"/>
  <c r="AC46" i="83"/>
  <c r="AG46" i="83"/>
  <c r="AK46" i="83"/>
  <c r="AO46" i="83"/>
  <c r="AS46" i="83"/>
  <c r="AW46" i="83"/>
  <c r="BA46" i="83"/>
  <c r="BE46" i="83"/>
  <c r="BI46" i="83"/>
  <c r="BM46" i="83"/>
  <c r="BQ46" i="83"/>
  <c r="BU46" i="83"/>
  <c r="BY46" i="83"/>
  <c r="CC46" i="83"/>
  <c r="CG46" i="83"/>
  <c r="CK46" i="83"/>
  <c r="T47" i="83"/>
  <c r="X47" i="83"/>
  <c r="AB47" i="83"/>
  <c r="AF47" i="83"/>
  <c r="AJ47" i="83"/>
  <c r="AN47" i="83"/>
  <c r="AR47" i="83"/>
  <c r="AV47" i="83"/>
  <c r="AZ47" i="83"/>
  <c r="BD47" i="83"/>
  <c r="BH47" i="83"/>
  <c r="BL47" i="83"/>
  <c r="BP47" i="83"/>
  <c r="BT47" i="83"/>
  <c r="BX47" i="83"/>
  <c r="CB47" i="83"/>
  <c r="CF47" i="83"/>
  <c r="CJ47" i="83"/>
  <c r="W48" i="83"/>
  <c r="AA48" i="83"/>
  <c r="AE48" i="83"/>
  <c r="AI48" i="83"/>
  <c r="AM48" i="83"/>
  <c r="AQ48" i="83"/>
  <c r="AU48" i="83"/>
  <c r="AY48" i="83"/>
  <c r="BC48" i="83"/>
  <c r="BG48" i="83"/>
  <c r="BK48" i="83"/>
  <c r="BO48" i="83"/>
  <c r="BS48" i="83"/>
  <c r="BW48" i="83"/>
  <c r="CA48" i="83"/>
  <c r="CE48" i="83"/>
  <c r="CI48" i="83"/>
  <c r="V49" i="83"/>
  <c r="Z49" i="83"/>
  <c r="AD49" i="83"/>
  <c r="AH49" i="83"/>
  <c r="AL49" i="83"/>
  <c r="AP49" i="83"/>
  <c r="AT49" i="83"/>
  <c r="AX49" i="83"/>
  <c r="BB49" i="83"/>
  <c r="BF49" i="83"/>
  <c r="BJ49" i="83"/>
  <c r="BN49" i="83"/>
  <c r="BR49" i="83"/>
  <c r="BV49" i="83"/>
  <c r="BZ49" i="83"/>
  <c r="CD49" i="83"/>
  <c r="CH49" i="83"/>
  <c r="CL49" i="83"/>
  <c r="BE64" i="83"/>
  <c r="CG64" i="83"/>
  <c r="H64" i="83"/>
  <c r="L64" i="83"/>
  <c r="T64" i="83"/>
  <c r="X64" i="83"/>
  <c r="AB64" i="83"/>
  <c r="AJ64" i="83"/>
  <c r="AN64" i="83"/>
  <c r="AR64" i="83"/>
  <c r="AZ64" i="83"/>
  <c r="BD64" i="83"/>
  <c r="BH64" i="83"/>
  <c r="BP64" i="83"/>
  <c r="BT64" i="83"/>
  <c r="BX64" i="83"/>
  <c r="CF64" i="83"/>
  <c r="CJ64" i="83"/>
  <c r="H19" i="77"/>
  <c r="B8" i="95" l="1"/>
  <c r="B8" i="103"/>
  <c r="B8" i="102"/>
  <c r="B8" i="101"/>
  <c r="U28" i="83"/>
  <c r="X28" i="83"/>
  <c r="O55" i="83"/>
  <c r="S28" i="83"/>
  <c r="V28" i="83"/>
  <c r="N55" i="83"/>
  <c r="K55" i="83"/>
  <c r="AI28" i="83"/>
  <c r="AY28" i="83"/>
  <c r="BO28" i="83"/>
  <c r="CE28" i="83"/>
  <c r="T28" i="83"/>
  <c r="Q55" i="83"/>
  <c r="Q28" i="83"/>
  <c r="CC28" i="83"/>
  <c r="AR28" i="83"/>
  <c r="BH28" i="83"/>
  <c r="BX28" i="83"/>
  <c r="H28" i="83"/>
  <c r="L55" i="83"/>
  <c r="P55" i="83"/>
  <c r="Z28" i="83"/>
  <c r="AL28" i="83"/>
  <c r="BB28" i="83"/>
  <c r="BR28" i="83"/>
  <c r="CH28" i="83"/>
  <c r="R28" i="83"/>
  <c r="BW66" i="88"/>
  <c r="AQ66" i="88"/>
  <c r="K66" i="88"/>
  <c r="BZ23" i="88"/>
  <c r="BZ38" i="88"/>
  <c r="BG51" i="88"/>
  <c r="BG53" i="88" s="1"/>
  <c r="AQ51" i="88"/>
  <c r="AQ53" i="88" s="1"/>
  <c r="BZ27" i="88"/>
  <c r="BZ44" i="88"/>
  <c r="BZ64" i="88" s="1"/>
  <c r="BO51" i="88"/>
  <c r="BO53" i="88" s="1"/>
  <c r="BZ35" i="88"/>
  <c r="BZ40" i="88"/>
  <c r="BT66" i="88"/>
  <c r="AN66" i="88"/>
  <c r="H66" i="88"/>
  <c r="BZ66" i="88"/>
  <c r="BZ37" i="88"/>
  <c r="BZ45" i="88"/>
  <c r="BZ63" i="88" s="1"/>
  <c r="BP51" i="88"/>
  <c r="BP53" i="88" s="1"/>
  <c r="BP66" i="88"/>
  <c r="AJ66" i="88"/>
  <c r="BM51" i="88"/>
  <c r="BM53" i="88" s="1"/>
  <c r="AQ54" i="88"/>
  <c r="AY54" i="88"/>
  <c r="BZ39" i="88"/>
  <c r="BZ42" i="88"/>
  <c r="BZ60" i="88" s="1"/>
  <c r="BZ36" i="88"/>
  <c r="BT51" i="88"/>
  <c r="BT53" i="88" s="1"/>
  <c r="BZ33" i="88"/>
  <c r="AN28" i="83"/>
  <c r="BD28" i="83"/>
  <c r="BT28" i="83"/>
  <c r="CJ28" i="83"/>
  <c r="BW28" i="83"/>
  <c r="AH28" i="83"/>
  <c r="AX28" i="83"/>
  <c r="BN28" i="83"/>
  <c r="CD28" i="83"/>
  <c r="N28" i="83"/>
  <c r="AD28" i="83"/>
  <c r="AT28" i="83"/>
  <c r="J28" i="83"/>
  <c r="CL28" i="83"/>
  <c r="J55" i="83"/>
  <c r="S55" i="83"/>
  <c r="K28" i="83"/>
  <c r="AA28" i="83"/>
  <c r="AQ28" i="83"/>
  <c r="BG28" i="83"/>
  <c r="CM28" i="83"/>
  <c r="AK28" i="83"/>
  <c r="BA28" i="83"/>
  <c r="BQ28" i="83"/>
  <c r="CG28" i="83"/>
  <c r="AG28" i="83"/>
  <c r="BM28" i="83"/>
  <c r="AJ28" i="83"/>
  <c r="AZ28" i="83"/>
  <c r="BP28" i="83"/>
  <c r="CF28" i="83"/>
  <c r="AF28" i="83"/>
  <c r="BL28" i="83"/>
  <c r="BZ28" i="83"/>
  <c r="BF28" i="83"/>
  <c r="AI51" i="88"/>
  <c r="AI53" i="88" s="1"/>
  <c r="CI51" i="88"/>
  <c r="CI53" i="88" s="1"/>
  <c r="BS51" i="88"/>
  <c r="BS53" i="88" s="1"/>
  <c r="W51" i="88"/>
  <c r="W53" i="88" s="1"/>
  <c r="W28" i="83"/>
  <c r="AM28" i="83"/>
  <c r="BC28" i="83"/>
  <c r="BS28" i="83"/>
  <c r="CI28" i="83"/>
  <c r="CJ51" i="88"/>
  <c r="CJ53" i="88" s="1"/>
  <c r="AK50" i="88"/>
  <c r="AK52" i="88" s="1"/>
  <c r="BO54" i="88"/>
  <c r="BV41" i="88"/>
  <c r="BV62" i="88" s="1"/>
  <c r="CM48" i="88"/>
  <c r="O28" i="83"/>
  <c r="AP28" i="83"/>
  <c r="BV28" i="83"/>
  <c r="H51" i="88"/>
  <c r="H53" i="88" s="1"/>
  <c r="AE28" i="83"/>
  <c r="AU28" i="83"/>
  <c r="BK28" i="83"/>
  <c r="CA28" i="83"/>
  <c r="BJ28" i="83"/>
  <c r="BL51" i="88"/>
  <c r="BL53" i="88" s="1"/>
  <c r="AF51" i="88"/>
  <c r="AF53" i="88" s="1"/>
  <c r="BQ51" i="88"/>
  <c r="BQ53" i="88" s="1"/>
  <c r="CE54" i="88"/>
  <c r="CA51" i="88"/>
  <c r="CA53" i="88" s="1"/>
  <c r="CI66" i="88"/>
  <c r="BC66" i="88"/>
  <c r="AM66" i="88"/>
  <c r="AM51" i="88"/>
  <c r="AM53" i="88" s="1"/>
  <c r="CM46" i="88"/>
  <c r="BB51" i="88"/>
  <c r="BB53" i="88" s="1"/>
  <c r="AL51" i="88"/>
  <c r="AL53" i="88" s="1"/>
  <c r="V51" i="88"/>
  <c r="V53" i="88" s="1"/>
  <c r="CF51" i="88"/>
  <c r="CF53" i="88" s="1"/>
  <c r="BX51" i="88"/>
  <c r="BX53" i="88" s="1"/>
  <c r="BH51" i="88"/>
  <c r="BH53" i="88" s="1"/>
  <c r="AZ51" i="88"/>
  <c r="AZ53" i="88" s="1"/>
  <c r="AR51" i="88"/>
  <c r="AR53" i="88" s="1"/>
  <c r="AB51" i="88"/>
  <c r="AB53" i="88" s="1"/>
  <c r="U51" i="88"/>
  <c r="U53" i="88" s="1"/>
  <c r="CE66" i="88"/>
  <c r="BO66" i="88"/>
  <c r="AY66" i="88"/>
  <c r="AI66" i="88"/>
  <c r="S66" i="88"/>
  <c r="AG66" i="88"/>
  <c r="BS66" i="88"/>
  <c r="W66" i="88"/>
  <c r="AY51" i="88"/>
  <c r="AY53" i="88" s="1"/>
  <c r="BQ66" i="88"/>
  <c r="AU51" i="88"/>
  <c r="AU53" i="88" s="1"/>
  <c r="CE51" i="88"/>
  <c r="CE53" i="88" s="1"/>
  <c r="AA51" i="88"/>
  <c r="AA53" i="88" s="1"/>
  <c r="AW50" i="88"/>
  <c r="AW52" i="88" s="1"/>
  <c r="BW54" i="88"/>
  <c r="BG54" i="88"/>
  <c r="AA54" i="88"/>
  <c r="K54" i="88"/>
  <c r="CB51" i="88"/>
  <c r="CB53" i="88" s="1"/>
  <c r="N41" i="88"/>
  <c r="N62" i="88" s="1"/>
  <c r="N65" i="88" s="1"/>
  <c r="N67" i="88" s="1"/>
  <c r="BS54" i="88"/>
  <c r="BX66" i="88"/>
  <c r="BH66" i="88"/>
  <c r="AR66" i="88"/>
  <c r="AB66" i="88"/>
  <c r="L66" i="88"/>
  <c r="AV51" i="88"/>
  <c r="AV53" i="88" s="1"/>
  <c r="AG51" i="88"/>
  <c r="AG53" i="88" s="1"/>
  <c r="AJ51" i="88"/>
  <c r="AJ53" i="88" s="1"/>
  <c r="CM20" i="88"/>
  <c r="BX54" i="88"/>
  <c r="BH54" i="88"/>
  <c r="AR54" i="88"/>
  <c r="AB54" i="88"/>
  <c r="L54" i="88"/>
  <c r="CM49" i="88"/>
  <c r="BI66" i="88"/>
  <c r="CL54" i="88"/>
  <c r="CL51" i="88"/>
  <c r="CL53" i="88" s="1"/>
  <c r="CH54" i="88"/>
  <c r="CD54" i="88"/>
  <c r="BZ54" i="88"/>
  <c r="BZ51" i="88"/>
  <c r="BZ53" i="88" s="1"/>
  <c r="BV54" i="88"/>
  <c r="BV51" i="88"/>
  <c r="BV53" i="88" s="1"/>
  <c r="BR54" i="88"/>
  <c r="BN54" i="88"/>
  <c r="BJ54" i="88"/>
  <c r="BF54" i="88"/>
  <c r="BB54" i="88"/>
  <c r="AX54" i="88"/>
  <c r="AT54" i="88"/>
  <c r="AP54" i="88"/>
  <c r="AP51" i="88"/>
  <c r="AP53" i="88" s="1"/>
  <c r="AL54" i="88"/>
  <c r="AH54" i="88"/>
  <c r="AD54" i="88"/>
  <c r="Z54" i="88"/>
  <c r="V54" i="88"/>
  <c r="R54" i="88"/>
  <c r="CM47" i="88"/>
  <c r="BC51" i="88"/>
  <c r="BC53" i="88" s="1"/>
  <c r="AE51" i="88"/>
  <c r="AE53" i="88" s="1"/>
  <c r="CC50" i="88"/>
  <c r="CC52" i="88" s="1"/>
  <c r="AI54" i="88"/>
  <c r="BW51" i="88"/>
  <c r="BW53" i="88" s="1"/>
  <c r="BT50" i="88"/>
  <c r="BT52" i="88" s="1"/>
  <c r="CM24" i="88"/>
  <c r="CM47" i="83"/>
  <c r="BU44" i="88"/>
  <c r="BU64" i="88" s="1"/>
  <c r="BU43" i="88"/>
  <c r="BU61" i="88" s="1"/>
  <c r="BU42" i="88"/>
  <c r="BU60" i="88" s="1"/>
  <c r="BU45" i="88"/>
  <c r="BU63" i="88" s="1"/>
  <c r="BU40" i="88"/>
  <c r="BU38" i="88"/>
  <c r="BU36" i="88"/>
  <c r="BU34" i="88"/>
  <c r="BU33" i="88"/>
  <c r="BU28" i="88" s="1"/>
  <c r="BU35" i="88"/>
  <c r="BU27" i="88"/>
  <c r="BU39" i="88"/>
  <c r="BU23" i="88"/>
  <c r="BU37" i="88"/>
  <c r="Y44" i="88"/>
  <c r="Y64" i="88" s="1"/>
  <c r="Y43" i="88"/>
  <c r="Y61" i="88" s="1"/>
  <c r="Y42" i="88"/>
  <c r="Y60" i="88" s="1"/>
  <c r="Y45" i="88"/>
  <c r="Y63" i="88" s="1"/>
  <c r="Y40" i="88"/>
  <c r="Y38" i="88"/>
  <c r="Y36" i="88"/>
  <c r="Y34" i="88"/>
  <c r="Y33" i="88"/>
  <c r="Y28" i="88" s="1"/>
  <c r="Y35" i="88"/>
  <c r="Y27" i="88"/>
  <c r="Y37" i="88"/>
  <c r="Y39" i="88"/>
  <c r="Y23" i="88"/>
  <c r="CK54" i="88"/>
  <c r="BE54" i="88"/>
  <c r="I54" i="88"/>
  <c r="CB45" i="88"/>
  <c r="CB63" i="88" s="1"/>
  <c r="CB40" i="88"/>
  <c r="CB44" i="88"/>
  <c r="CB64" i="88" s="1"/>
  <c r="CB43" i="88"/>
  <c r="CB61" i="88" s="1"/>
  <c r="CB39" i="88"/>
  <c r="CB37" i="88"/>
  <c r="CB35" i="88"/>
  <c r="CB27" i="88"/>
  <c r="CB42" i="88"/>
  <c r="CB60" i="88" s="1"/>
  <c r="CB38" i="88"/>
  <c r="CB36" i="88"/>
  <c r="CB34" i="88"/>
  <c r="CB23" i="88"/>
  <c r="CB33" i="88"/>
  <c r="CB28" i="88" s="1"/>
  <c r="AF45" i="88"/>
  <c r="AF63" i="88" s="1"/>
  <c r="AF40" i="88"/>
  <c r="AF44" i="88"/>
  <c r="AF64" i="88" s="1"/>
  <c r="AF43" i="88"/>
  <c r="AF61" i="88" s="1"/>
  <c r="AF39" i="88"/>
  <c r="AF37" i="88"/>
  <c r="AF35" i="88"/>
  <c r="AF27" i="88"/>
  <c r="AF42" i="88"/>
  <c r="AF60" i="88" s="1"/>
  <c r="AF38" i="88"/>
  <c r="AF36" i="88"/>
  <c r="AF34" i="88"/>
  <c r="AF33" i="88"/>
  <c r="AF28" i="88" s="1"/>
  <c r="AF23" i="88"/>
  <c r="AU42" i="88"/>
  <c r="AU60" i="88" s="1"/>
  <c r="AU45" i="88"/>
  <c r="AU63" i="88" s="1"/>
  <c r="AU44" i="88"/>
  <c r="AU64" i="88" s="1"/>
  <c r="AU33" i="88"/>
  <c r="AU28" i="88" s="1"/>
  <c r="AU43" i="88"/>
  <c r="AU61" i="88" s="1"/>
  <c r="AU40" i="88"/>
  <c r="AU39" i="88"/>
  <c r="AU37" i="88"/>
  <c r="AU35" i="88"/>
  <c r="AU27" i="88"/>
  <c r="AU36" i="88"/>
  <c r="AU23" i="88"/>
  <c r="AU55" i="88" s="1"/>
  <c r="AU38" i="88"/>
  <c r="AU34" i="88"/>
  <c r="AP55" i="88"/>
  <c r="CD50" i="88"/>
  <c r="CD52" i="88" s="1"/>
  <c r="BR50" i="88"/>
  <c r="BR52" i="88" s="1"/>
  <c r="BF50" i="88"/>
  <c r="BF52" i="88" s="1"/>
  <c r="AL50" i="88"/>
  <c r="AL52" i="88" s="1"/>
  <c r="AH50" i="88"/>
  <c r="AH52" i="88" s="1"/>
  <c r="Z50" i="88"/>
  <c r="Z52" i="88" s="1"/>
  <c r="I66" i="88"/>
  <c r="Z41" i="88"/>
  <c r="Z62" i="88" s="1"/>
  <c r="CB66" i="88"/>
  <c r="BL66" i="88"/>
  <c r="AV66" i="88"/>
  <c r="AF66" i="88"/>
  <c r="P66" i="88"/>
  <c r="CG44" i="88"/>
  <c r="CG64" i="88" s="1"/>
  <c r="CG43" i="88"/>
  <c r="CG61" i="88" s="1"/>
  <c r="CG42" i="88"/>
  <c r="CG60" i="88" s="1"/>
  <c r="CG45" i="88"/>
  <c r="CG63" i="88" s="1"/>
  <c r="CG38" i="88"/>
  <c r="CG36" i="88"/>
  <c r="CG34" i="88"/>
  <c r="CG40" i="88"/>
  <c r="CG33" i="88"/>
  <c r="CG28" i="88" s="1"/>
  <c r="CG37" i="88"/>
  <c r="CG35" i="88"/>
  <c r="CG39" i="88"/>
  <c r="CG27" i="88"/>
  <c r="CG23" i="88"/>
  <c r="BQ44" i="88"/>
  <c r="BQ64" i="88" s="1"/>
  <c r="BQ43" i="88"/>
  <c r="BQ61" i="88" s="1"/>
  <c r="BQ42" i="88"/>
  <c r="BQ60" i="88" s="1"/>
  <c r="BQ45" i="88"/>
  <c r="BQ63" i="88" s="1"/>
  <c r="BQ38" i="88"/>
  <c r="BQ36" i="88"/>
  <c r="BQ34" i="88"/>
  <c r="BQ40" i="88"/>
  <c r="BQ33" i="88"/>
  <c r="BQ28" i="88" s="1"/>
  <c r="BQ37" i="88"/>
  <c r="BQ39" i="88"/>
  <c r="BQ35" i="88"/>
  <c r="BQ27" i="88"/>
  <c r="BQ23" i="88"/>
  <c r="BA44" i="88"/>
  <c r="BA64" i="88" s="1"/>
  <c r="BA43" i="88"/>
  <c r="BA61" i="88" s="1"/>
  <c r="BA42" i="88"/>
  <c r="BA60" i="88" s="1"/>
  <c r="BA45" i="88"/>
  <c r="BA63" i="88" s="1"/>
  <c r="BA38" i="88"/>
  <c r="BA36" i="88"/>
  <c r="BA34" i="88"/>
  <c r="BA40" i="88"/>
  <c r="BA33" i="88"/>
  <c r="BA28" i="88" s="1"/>
  <c r="BA37" i="88"/>
  <c r="BA35" i="88"/>
  <c r="BA27" i="88"/>
  <c r="BA23" i="88"/>
  <c r="BA39" i="88"/>
  <c r="AK44" i="88"/>
  <c r="AK64" i="88" s="1"/>
  <c r="AK43" i="88"/>
  <c r="AK61" i="88" s="1"/>
  <c r="AK42" i="88"/>
  <c r="AK60" i="88" s="1"/>
  <c r="AK45" i="88"/>
  <c r="AK63" i="88" s="1"/>
  <c r="AK38" i="88"/>
  <c r="AK36" i="88"/>
  <c r="AK34" i="88"/>
  <c r="AK40" i="88"/>
  <c r="AK33" i="88"/>
  <c r="AK28" i="88" s="1"/>
  <c r="AK37" i="88"/>
  <c r="AK35" i="88"/>
  <c r="AK39" i="88"/>
  <c r="AK27" i="88"/>
  <c r="AK23" i="88"/>
  <c r="U44" i="88"/>
  <c r="U64" i="88" s="1"/>
  <c r="U43" i="88"/>
  <c r="U61" i="88" s="1"/>
  <c r="U42" i="88"/>
  <c r="U60" i="88" s="1"/>
  <c r="U45" i="88"/>
  <c r="U63" i="88" s="1"/>
  <c r="U38" i="88"/>
  <c r="U36" i="88"/>
  <c r="U34" i="88"/>
  <c r="U40" i="88"/>
  <c r="U33" i="88"/>
  <c r="U37" i="88"/>
  <c r="U39" i="88"/>
  <c r="U35" i="88"/>
  <c r="U27" i="88"/>
  <c r="U23" i="88"/>
  <c r="AO50" i="88"/>
  <c r="AO52" i="88" s="1"/>
  <c r="AC51" i="88"/>
  <c r="AC53" i="88" s="1"/>
  <c r="AS51" i="88"/>
  <c r="AS53" i="88" s="1"/>
  <c r="BI51" i="88"/>
  <c r="BI53" i="88" s="1"/>
  <c r="BY51" i="88"/>
  <c r="BY53" i="88" s="1"/>
  <c r="Z51" i="88"/>
  <c r="Z53" i="88" s="1"/>
  <c r="BF51" i="88"/>
  <c r="BF53" i="88" s="1"/>
  <c r="CM21" i="88"/>
  <c r="CG54" i="88"/>
  <c r="BQ54" i="88"/>
  <c r="BA54" i="88"/>
  <c r="AK54" i="88"/>
  <c r="U54" i="88"/>
  <c r="G66" i="88"/>
  <c r="CM17" i="88"/>
  <c r="BX45" i="88"/>
  <c r="BX63" i="88" s="1"/>
  <c r="BX40" i="88"/>
  <c r="BX44" i="88"/>
  <c r="BX64" i="88" s="1"/>
  <c r="BX43" i="88"/>
  <c r="BX61" i="88" s="1"/>
  <c r="BX39" i="88"/>
  <c r="BX37" i="88"/>
  <c r="BX35" i="88"/>
  <c r="BX27" i="88"/>
  <c r="BX38" i="88"/>
  <c r="BX36" i="88"/>
  <c r="BX34" i="88"/>
  <c r="BX42" i="88"/>
  <c r="BX60" i="88" s="1"/>
  <c r="BX23" i="88"/>
  <c r="BX33" i="88"/>
  <c r="BX28" i="88" s="1"/>
  <c r="BH45" i="88"/>
  <c r="BH63" i="88" s="1"/>
  <c r="BH40" i="88"/>
  <c r="BH44" i="88"/>
  <c r="BH64" i="88" s="1"/>
  <c r="BH43" i="88"/>
  <c r="BH61" i="88" s="1"/>
  <c r="BH39" i="88"/>
  <c r="BH37" i="88"/>
  <c r="BH35" i="88"/>
  <c r="BH27" i="88"/>
  <c r="BH38" i="88"/>
  <c r="BH36" i="88"/>
  <c r="BH34" i="88"/>
  <c r="BH42" i="88"/>
  <c r="BH60" i="88" s="1"/>
  <c r="BH33" i="88"/>
  <c r="BH28" i="88" s="1"/>
  <c r="BH23" i="88"/>
  <c r="AR45" i="88"/>
  <c r="AR63" i="88" s="1"/>
  <c r="AR40" i="88"/>
  <c r="AR44" i="88"/>
  <c r="AR64" i="88" s="1"/>
  <c r="AR43" i="88"/>
  <c r="AR61" i="88" s="1"/>
  <c r="AR39" i="88"/>
  <c r="AR37" i="88"/>
  <c r="AR35" i="88"/>
  <c r="AR27" i="88"/>
  <c r="AR38" i="88"/>
  <c r="AR36" i="88"/>
  <c r="AR34" i="88"/>
  <c r="AR33" i="88"/>
  <c r="AR23" i="88"/>
  <c r="AR42" i="88"/>
  <c r="AR60" i="88" s="1"/>
  <c r="AB45" i="88"/>
  <c r="AB63" i="88" s="1"/>
  <c r="AB40" i="88"/>
  <c r="AB44" i="88"/>
  <c r="AB64" i="88" s="1"/>
  <c r="AB43" i="88"/>
  <c r="AB61" i="88" s="1"/>
  <c r="AB39" i="88"/>
  <c r="AB37" i="88"/>
  <c r="AB35" i="88"/>
  <c r="AB27" i="88"/>
  <c r="AB38" i="88"/>
  <c r="AB36" i="88"/>
  <c r="AB34" i="88"/>
  <c r="AB23" i="88"/>
  <c r="AB42" i="88"/>
  <c r="AB60" i="88" s="1"/>
  <c r="AB33" i="88"/>
  <c r="L45" i="88"/>
  <c r="L63" i="88" s="1"/>
  <c r="L40" i="88"/>
  <c r="L44" i="88"/>
  <c r="L64" i="88" s="1"/>
  <c r="L43" i="88"/>
  <c r="L61" i="88" s="1"/>
  <c r="L39" i="88"/>
  <c r="L37" i="88"/>
  <c r="L35" i="88"/>
  <c r="L38" i="88"/>
  <c r="L36" i="88"/>
  <c r="L34" i="88"/>
  <c r="L42" i="88"/>
  <c r="L60" i="88" s="1"/>
  <c r="BH50" i="88"/>
  <c r="BH52" i="88" s="1"/>
  <c r="AZ50" i="88"/>
  <c r="AZ52" i="88" s="1"/>
  <c r="AR28" i="88"/>
  <c r="AF50" i="88"/>
  <c r="AF52" i="88" s="1"/>
  <c r="CJ54" i="88"/>
  <c r="BT54" i="88"/>
  <c r="BD54" i="88"/>
  <c r="AN54" i="88"/>
  <c r="X54" i="88"/>
  <c r="H54" i="88"/>
  <c r="BW42" i="88"/>
  <c r="BW60" i="88" s="1"/>
  <c r="BW45" i="88"/>
  <c r="BW63" i="88" s="1"/>
  <c r="BW44" i="88"/>
  <c r="BW64" i="88" s="1"/>
  <c r="BW33" i="88"/>
  <c r="BW28" i="88" s="1"/>
  <c r="BW39" i="88"/>
  <c r="BW37" i="88"/>
  <c r="BW35" i="88"/>
  <c r="BW27" i="88"/>
  <c r="BW43" i="88"/>
  <c r="BW61" i="88" s="1"/>
  <c r="BW40" i="88"/>
  <c r="BW38" i="88"/>
  <c r="BW23" i="88"/>
  <c r="BW36" i="88"/>
  <c r="BW34" i="88"/>
  <c r="BG42" i="88"/>
  <c r="BG60" i="88" s="1"/>
  <c r="BG45" i="88"/>
  <c r="BG63" i="88" s="1"/>
  <c r="BG44" i="88"/>
  <c r="BG64" i="88" s="1"/>
  <c r="BG33" i="88"/>
  <c r="BG28" i="88" s="1"/>
  <c r="BG39" i="88"/>
  <c r="BG37" i="88"/>
  <c r="BG35" i="88"/>
  <c r="BG27" i="88"/>
  <c r="BG43" i="88"/>
  <c r="BG61" i="88" s="1"/>
  <c r="BG38" i="88"/>
  <c r="BG23" i="88"/>
  <c r="BG36" i="88"/>
  <c r="BG40" i="88"/>
  <c r="BG34" i="88"/>
  <c r="AQ42" i="88"/>
  <c r="AQ60" i="88" s="1"/>
  <c r="AQ45" i="88"/>
  <c r="AQ63" i="88" s="1"/>
  <c r="AQ44" i="88"/>
  <c r="AQ64" i="88" s="1"/>
  <c r="AQ33" i="88"/>
  <c r="AQ28" i="88" s="1"/>
  <c r="AQ39" i="88"/>
  <c r="AQ37" i="88"/>
  <c r="AQ35" i="88"/>
  <c r="AQ27" i="88"/>
  <c r="AQ43" i="88"/>
  <c r="AQ61" i="88" s="1"/>
  <c r="AQ40" i="88"/>
  <c r="AQ38" i="88"/>
  <c r="AQ23" i="88"/>
  <c r="AQ55" i="88" s="1"/>
  <c r="AQ36" i="88"/>
  <c r="AQ34" i="88"/>
  <c r="AA42" i="88"/>
  <c r="AA60" i="88" s="1"/>
  <c r="AA45" i="88"/>
  <c r="AA63" i="88" s="1"/>
  <c r="AA44" i="88"/>
  <c r="AA64" i="88" s="1"/>
  <c r="AA33" i="88"/>
  <c r="AA28" i="88" s="1"/>
  <c r="AA39" i="88"/>
  <c r="AA37" i="88"/>
  <c r="AA35" i="88"/>
  <c r="AA27" i="88"/>
  <c r="AA43" i="88"/>
  <c r="AA61" i="88" s="1"/>
  <c r="AA38" i="88"/>
  <c r="AA23" i="88"/>
  <c r="AA36" i="88"/>
  <c r="AA40" i="88"/>
  <c r="AA34" i="88"/>
  <c r="K42" i="88"/>
  <c r="K60" i="88" s="1"/>
  <c r="K45" i="88"/>
  <c r="K63" i="88" s="1"/>
  <c r="K44" i="88"/>
  <c r="K64" i="88" s="1"/>
  <c r="K39" i="88"/>
  <c r="K37" i="88"/>
  <c r="K35" i="88"/>
  <c r="K43" i="88"/>
  <c r="K61" i="88" s="1"/>
  <c r="K40" i="88"/>
  <c r="K38" i="88"/>
  <c r="K36" i="88"/>
  <c r="K34" i="88"/>
  <c r="CE50" i="88"/>
  <c r="CE52" i="88" s="1"/>
  <c r="BW50" i="88"/>
  <c r="BW52" i="88" s="1"/>
  <c r="BO50" i="88"/>
  <c r="BO52" i="88" s="1"/>
  <c r="BG50" i="88"/>
  <c r="BG52" i="88" s="1"/>
  <c r="AY50" i="88"/>
  <c r="AY52" i="88" s="1"/>
  <c r="AQ50" i="88"/>
  <c r="AQ52" i="88" s="1"/>
  <c r="AI50" i="88"/>
  <c r="AI52" i="88" s="1"/>
  <c r="AA50" i="88"/>
  <c r="AA52" i="88" s="1"/>
  <c r="BC54" i="88"/>
  <c r="CC66" i="88"/>
  <c r="Q66" i="88"/>
  <c r="AL43" i="88"/>
  <c r="AL61" i="88" s="1"/>
  <c r="AL42" i="88"/>
  <c r="AL60" i="88" s="1"/>
  <c r="AL45" i="88"/>
  <c r="AL63" i="88" s="1"/>
  <c r="AL40" i="88"/>
  <c r="AL38" i="88"/>
  <c r="AL36" i="88"/>
  <c r="AL34" i="88"/>
  <c r="AL33" i="88"/>
  <c r="AL28" i="88" s="1"/>
  <c r="AL44" i="88"/>
  <c r="AL64" i="88" s="1"/>
  <c r="AL39" i="88"/>
  <c r="AL37" i="88"/>
  <c r="AL35" i="88"/>
  <c r="AL27" i="88"/>
  <c r="AL23" i="88"/>
  <c r="AL55" i="88" s="1"/>
  <c r="AS66" i="88"/>
  <c r="BN43" i="88"/>
  <c r="BN61" i="88" s="1"/>
  <c r="BN42" i="88"/>
  <c r="BN60" i="88" s="1"/>
  <c r="BN45" i="88"/>
  <c r="BN63" i="88" s="1"/>
  <c r="BN40" i="88"/>
  <c r="BN38" i="88"/>
  <c r="BN36" i="88"/>
  <c r="BN34" i="88"/>
  <c r="BN33" i="88"/>
  <c r="BN28" i="88" s="1"/>
  <c r="BN39" i="88"/>
  <c r="BN37" i="88"/>
  <c r="BN35" i="88"/>
  <c r="BN27" i="88"/>
  <c r="BN23" i="88"/>
  <c r="BN44" i="88"/>
  <c r="BN64" i="88" s="1"/>
  <c r="CH66" i="88"/>
  <c r="CD66" i="88"/>
  <c r="BR66" i="88"/>
  <c r="BN66" i="88"/>
  <c r="BB66" i="88"/>
  <c r="AX66" i="88"/>
  <c r="AL66" i="88"/>
  <c r="AH66" i="88"/>
  <c r="V66" i="88"/>
  <c r="R66" i="88"/>
  <c r="J50" i="88"/>
  <c r="J52" i="88" s="1"/>
  <c r="BV55" i="88"/>
  <c r="BV65" i="88"/>
  <c r="BV67" i="88" s="1"/>
  <c r="AE54" i="88"/>
  <c r="BE66" i="88"/>
  <c r="CL55" i="88"/>
  <c r="Z55" i="88"/>
  <c r="Z65" i="88"/>
  <c r="Z67" i="88" s="1"/>
  <c r="CM25" i="88"/>
  <c r="BZ55" i="88"/>
  <c r="BJ41" i="88"/>
  <c r="BJ62" i="88" s="1"/>
  <c r="BJ65" i="88" s="1"/>
  <c r="BJ67" i="88" s="1"/>
  <c r="AT55" i="88"/>
  <c r="AD41" i="88"/>
  <c r="AD62" i="88" s="1"/>
  <c r="BE44" i="88"/>
  <c r="BE64" i="88" s="1"/>
  <c r="BE43" i="88"/>
  <c r="BE61" i="88" s="1"/>
  <c r="BE42" i="88"/>
  <c r="BE60" i="88" s="1"/>
  <c r="BE45" i="88"/>
  <c r="BE63" i="88" s="1"/>
  <c r="BE40" i="88"/>
  <c r="BE38" i="88"/>
  <c r="BE36" i="88"/>
  <c r="BE34" i="88"/>
  <c r="BE33" i="88"/>
  <c r="BE28" i="88" s="1"/>
  <c r="BE35" i="88"/>
  <c r="BE37" i="88"/>
  <c r="BE27" i="88"/>
  <c r="BE39" i="88"/>
  <c r="BE23" i="88"/>
  <c r="I44" i="88"/>
  <c r="I64" i="88" s="1"/>
  <c r="I43" i="88"/>
  <c r="I61" i="88" s="1"/>
  <c r="I42" i="88"/>
  <c r="I60" i="88" s="1"/>
  <c r="I45" i="88"/>
  <c r="I63" i="88" s="1"/>
  <c r="I40" i="88"/>
  <c r="I38" i="88"/>
  <c r="I36" i="88"/>
  <c r="I34" i="88"/>
  <c r="I35" i="88"/>
  <c r="I23" i="88"/>
  <c r="I55" i="88" s="1"/>
  <c r="I37" i="88"/>
  <c r="I39" i="88"/>
  <c r="BU54" i="88"/>
  <c r="Y54" i="88"/>
  <c r="AV45" i="88"/>
  <c r="AV63" i="88" s="1"/>
  <c r="AV40" i="88"/>
  <c r="AV44" i="88"/>
  <c r="AV64" i="88" s="1"/>
  <c r="AV43" i="88"/>
  <c r="AV61" i="88" s="1"/>
  <c r="AV39" i="88"/>
  <c r="AV37" i="88"/>
  <c r="AV35" i="88"/>
  <c r="AV27" i="88"/>
  <c r="AV42" i="88"/>
  <c r="AV60" i="88" s="1"/>
  <c r="AV38" i="88"/>
  <c r="AV36" i="88"/>
  <c r="AV34" i="88"/>
  <c r="AV23" i="88"/>
  <c r="AV33" i="88"/>
  <c r="AV28" i="88" s="1"/>
  <c r="CA42" i="88"/>
  <c r="CA60" i="88" s="1"/>
  <c r="CA45" i="88"/>
  <c r="CA63" i="88" s="1"/>
  <c r="CA44" i="88"/>
  <c r="CA64" i="88" s="1"/>
  <c r="CA33" i="88"/>
  <c r="CA43" i="88"/>
  <c r="CA61" i="88" s="1"/>
  <c r="CA40" i="88"/>
  <c r="CA39" i="88"/>
  <c r="CA37" i="88"/>
  <c r="CA35" i="88"/>
  <c r="CA27" i="88"/>
  <c r="CA36" i="88"/>
  <c r="CA23" i="88"/>
  <c r="CA34" i="88"/>
  <c r="CA38" i="88"/>
  <c r="O42" i="88"/>
  <c r="O60" i="88" s="1"/>
  <c r="O45" i="88"/>
  <c r="O63" i="88" s="1"/>
  <c r="O44" i="88"/>
  <c r="O64" i="88" s="1"/>
  <c r="O43" i="88"/>
  <c r="O61" i="88" s="1"/>
  <c r="O40" i="88"/>
  <c r="O39" i="88"/>
  <c r="O37" i="88"/>
  <c r="O35" i="88"/>
  <c r="O36" i="88"/>
  <c r="O38" i="88"/>
  <c r="O34" i="88"/>
  <c r="BB43" i="88"/>
  <c r="BB61" i="88" s="1"/>
  <c r="BB42" i="88"/>
  <c r="BB60" i="88" s="1"/>
  <c r="BB45" i="88"/>
  <c r="BB63" i="88" s="1"/>
  <c r="BB40" i="88"/>
  <c r="BB38" i="88"/>
  <c r="BB36" i="88"/>
  <c r="BB34" i="88"/>
  <c r="BB33" i="88"/>
  <c r="BB28" i="88" s="1"/>
  <c r="BB44" i="88"/>
  <c r="BB64" i="88" s="1"/>
  <c r="BB39" i="88"/>
  <c r="BB37" i="88"/>
  <c r="BB35" i="88"/>
  <c r="BB27" i="88"/>
  <c r="BB23" i="88"/>
  <c r="CD43" i="88"/>
  <c r="CD61" i="88" s="1"/>
  <c r="CD42" i="88"/>
  <c r="CD60" i="88" s="1"/>
  <c r="CD45" i="88"/>
  <c r="CD63" i="88" s="1"/>
  <c r="CD40" i="88"/>
  <c r="CD38" i="88"/>
  <c r="CD36" i="88"/>
  <c r="CD34" i="88"/>
  <c r="CD33" i="88"/>
  <c r="CD28" i="88" s="1"/>
  <c r="CD39" i="88"/>
  <c r="CD37" i="88"/>
  <c r="CD35" i="88"/>
  <c r="CD27" i="88"/>
  <c r="CD44" i="88"/>
  <c r="CD64" i="88" s="1"/>
  <c r="CD23" i="88"/>
  <c r="CH50" i="88"/>
  <c r="CH52" i="88" s="1"/>
  <c r="BV50" i="88"/>
  <c r="BV52" i="88" s="1"/>
  <c r="BJ50" i="88"/>
  <c r="BJ52" i="88" s="1"/>
  <c r="AX50" i="88"/>
  <c r="AX52" i="88" s="1"/>
  <c r="AT50" i="88"/>
  <c r="AT52" i="88" s="1"/>
  <c r="AD50" i="88"/>
  <c r="AD52" i="88" s="1"/>
  <c r="AU54" i="88"/>
  <c r="CC44" i="88"/>
  <c r="CC64" i="88" s="1"/>
  <c r="CC43" i="88"/>
  <c r="CC61" i="88" s="1"/>
  <c r="CC42" i="88"/>
  <c r="CC60" i="88" s="1"/>
  <c r="CC40" i="88"/>
  <c r="CC38" i="88"/>
  <c r="CC36" i="88"/>
  <c r="CC34" i="88"/>
  <c r="CC45" i="88"/>
  <c r="CC63" i="88" s="1"/>
  <c r="CC33" i="88"/>
  <c r="CC28" i="88" s="1"/>
  <c r="CC39" i="88"/>
  <c r="CC37" i="88"/>
  <c r="CC27" i="88"/>
  <c r="CC35" i="88"/>
  <c r="CC23" i="88"/>
  <c r="BM44" i="88"/>
  <c r="BM64" i="88" s="1"/>
  <c r="BM43" i="88"/>
  <c r="BM61" i="88" s="1"/>
  <c r="BM42" i="88"/>
  <c r="BM60" i="88" s="1"/>
  <c r="BM40" i="88"/>
  <c r="BM38" i="88"/>
  <c r="BM36" i="88"/>
  <c r="BM34" i="88"/>
  <c r="BM45" i="88"/>
  <c r="BM63" i="88" s="1"/>
  <c r="BM33" i="88"/>
  <c r="BM28" i="88" s="1"/>
  <c r="BM39" i="88"/>
  <c r="BM27" i="88"/>
  <c r="BM37" i="88"/>
  <c r="BM35" i="88"/>
  <c r="BM23" i="88"/>
  <c r="AW44" i="88"/>
  <c r="AW64" i="88" s="1"/>
  <c r="AW43" i="88"/>
  <c r="AW61" i="88" s="1"/>
  <c r="AW42" i="88"/>
  <c r="AW60" i="88" s="1"/>
  <c r="AW40" i="88"/>
  <c r="AW38" i="88"/>
  <c r="AW36" i="88"/>
  <c r="AW34" i="88"/>
  <c r="AW45" i="88"/>
  <c r="AW63" i="88" s="1"/>
  <c r="AW33" i="88"/>
  <c r="AW28" i="88" s="1"/>
  <c r="AW39" i="88"/>
  <c r="AW37" i="88"/>
  <c r="AW35" i="88"/>
  <c r="AW23" i="88"/>
  <c r="AW27" i="88"/>
  <c r="AG44" i="88"/>
  <c r="AG64" i="88" s="1"/>
  <c r="AG43" i="88"/>
  <c r="AG61" i="88" s="1"/>
  <c r="AG42" i="88"/>
  <c r="AG60" i="88" s="1"/>
  <c r="AG40" i="88"/>
  <c r="AG38" i="88"/>
  <c r="AG36" i="88"/>
  <c r="AG34" i="88"/>
  <c r="AG45" i="88"/>
  <c r="AG63" i="88" s="1"/>
  <c r="AG33" i="88"/>
  <c r="AG28" i="88" s="1"/>
  <c r="AG39" i="88"/>
  <c r="AG37" i="88"/>
  <c r="AG27" i="88"/>
  <c r="AG35" i="88"/>
  <c r="AG23" i="88"/>
  <c r="Q44" i="88"/>
  <c r="Q64" i="88" s="1"/>
  <c r="Q43" i="88"/>
  <c r="Q61" i="88" s="1"/>
  <c r="Q42" i="88"/>
  <c r="Q60" i="88" s="1"/>
  <c r="Q40" i="88"/>
  <c r="Q38" i="88"/>
  <c r="Q36" i="88"/>
  <c r="Q34" i="88"/>
  <c r="Q45" i="88"/>
  <c r="Q63" i="88" s="1"/>
  <c r="Q39" i="88"/>
  <c r="Q37" i="88"/>
  <c r="Q35" i="88"/>
  <c r="T51" i="88"/>
  <c r="T53" i="88" s="1"/>
  <c r="AD51" i="88"/>
  <c r="AD53" i="88" s="1"/>
  <c r="AT51" i="88"/>
  <c r="AT53" i="88" s="1"/>
  <c r="BJ51" i="88"/>
  <c r="BJ53" i="88" s="1"/>
  <c r="AN50" i="88"/>
  <c r="AN52" i="88" s="1"/>
  <c r="CC54" i="88"/>
  <c r="BM54" i="88"/>
  <c r="AW54" i="88"/>
  <c r="AG54" i="88"/>
  <c r="Q54" i="88"/>
  <c r="CJ45" i="88"/>
  <c r="CJ63" i="88" s="1"/>
  <c r="CJ40" i="88"/>
  <c r="CJ44" i="88"/>
  <c r="CJ64" i="88" s="1"/>
  <c r="CJ43" i="88"/>
  <c r="CJ61" i="88" s="1"/>
  <c r="CJ39" i="88"/>
  <c r="CJ42" i="88"/>
  <c r="CJ60" i="88" s="1"/>
  <c r="CJ37" i="88"/>
  <c r="CJ35" i="88"/>
  <c r="CJ27" i="88"/>
  <c r="CJ38" i="88"/>
  <c r="CJ36" i="88"/>
  <c r="CJ34" i="88"/>
  <c r="CJ33" i="88"/>
  <c r="CJ28" i="88" s="1"/>
  <c r="CJ23" i="88"/>
  <c r="BT45" i="88"/>
  <c r="BT63" i="88" s="1"/>
  <c r="BT40" i="88"/>
  <c r="BT44" i="88"/>
  <c r="BT64" i="88" s="1"/>
  <c r="BT43" i="88"/>
  <c r="BT61" i="88" s="1"/>
  <c r="BT42" i="88"/>
  <c r="BT60" i="88" s="1"/>
  <c r="BT39" i="88"/>
  <c r="BT37" i="88"/>
  <c r="BT35" i="88"/>
  <c r="BT27" i="88"/>
  <c r="BT38" i="88"/>
  <c r="BT36" i="88"/>
  <c r="BT34" i="88"/>
  <c r="BT33" i="88"/>
  <c r="BT28" i="88" s="1"/>
  <c r="BT23" i="88"/>
  <c r="BD45" i="88"/>
  <c r="BD63" i="88" s="1"/>
  <c r="BD40" i="88"/>
  <c r="BD44" i="88"/>
  <c r="BD64" i="88" s="1"/>
  <c r="BD43" i="88"/>
  <c r="BD61" i="88" s="1"/>
  <c r="BD42" i="88"/>
  <c r="BD60" i="88" s="1"/>
  <c r="BD39" i="88"/>
  <c r="BD37" i="88"/>
  <c r="BD35" i="88"/>
  <c r="BD27" i="88"/>
  <c r="BD38" i="88"/>
  <c r="BD36" i="88"/>
  <c r="BD34" i="88"/>
  <c r="BD33" i="88"/>
  <c r="BD28" i="88" s="1"/>
  <c r="BD23" i="88"/>
  <c r="AN45" i="88"/>
  <c r="AN63" i="88" s="1"/>
  <c r="AN40" i="88"/>
  <c r="AN44" i="88"/>
  <c r="AN64" i="88" s="1"/>
  <c r="AN43" i="88"/>
  <c r="AN61" i="88" s="1"/>
  <c r="AN42" i="88"/>
  <c r="AN60" i="88" s="1"/>
  <c r="AN39" i="88"/>
  <c r="AN37" i="88"/>
  <c r="AN35" i="88"/>
  <c r="AN27" i="88"/>
  <c r="AN38" i="88"/>
  <c r="AN36" i="88"/>
  <c r="AN34" i="88"/>
  <c r="AN33" i="88"/>
  <c r="AN28" i="88" s="1"/>
  <c r="AN23" i="88"/>
  <c r="X45" i="88"/>
  <c r="X63" i="88" s="1"/>
  <c r="X40" i="88"/>
  <c r="X44" i="88"/>
  <c r="X64" i="88" s="1"/>
  <c r="X43" i="88"/>
  <c r="X61" i="88" s="1"/>
  <c r="X42" i="88"/>
  <c r="X60" i="88" s="1"/>
  <c r="X39" i="88"/>
  <c r="X37" i="88"/>
  <c r="X35" i="88"/>
  <c r="X27" i="88"/>
  <c r="X38" i="88"/>
  <c r="X36" i="88"/>
  <c r="X34" i="88"/>
  <c r="X33" i="88"/>
  <c r="X28" i="88" s="1"/>
  <c r="X23" i="88"/>
  <c r="H45" i="88"/>
  <c r="H63" i="88" s="1"/>
  <c r="H40" i="88"/>
  <c r="H44" i="88"/>
  <c r="H64" i="88" s="1"/>
  <c r="H43" i="88"/>
  <c r="H61" i="88" s="1"/>
  <c r="H42" i="88"/>
  <c r="H60" i="88" s="1"/>
  <c r="H39" i="88"/>
  <c r="H37" i="88"/>
  <c r="H35" i="88"/>
  <c r="H38" i="88"/>
  <c r="H36" i="88"/>
  <c r="H34" i="88"/>
  <c r="H23" i="88"/>
  <c r="H55" i="88" s="1"/>
  <c r="BX50" i="88"/>
  <c r="BX52" i="88" s="1"/>
  <c r="BP50" i="88"/>
  <c r="BP52" i="88" s="1"/>
  <c r="AV50" i="88"/>
  <c r="AV52" i="88" s="1"/>
  <c r="CM29" i="88"/>
  <c r="U28" i="88"/>
  <c r="CF54" i="88"/>
  <c r="BP54" i="88"/>
  <c r="AZ54" i="88"/>
  <c r="AJ54" i="88"/>
  <c r="T54" i="88"/>
  <c r="CI42" i="88"/>
  <c r="CI60" i="88" s="1"/>
  <c r="CI45" i="88"/>
  <c r="CI63" i="88" s="1"/>
  <c r="CI44" i="88"/>
  <c r="CI64" i="88" s="1"/>
  <c r="CI33" i="88"/>
  <c r="CI28" i="88" s="1"/>
  <c r="CI40" i="88"/>
  <c r="CI39" i="88"/>
  <c r="CI37" i="88"/>
  <c r="CI35" i="88"/>
  <c r="CI27" i="88"/>
  <c r="CI23" i="88"/>
  <c r="CI34" i="88"/>
  <c r="CI38" i="88"/>
  <c r="CI43" i="88"/>
  <c r="CI61" i="88" s="1"/>
  <c r="CI36" i="88"/>
  <c r="BS42" i="88"/>
  <c r="BS60" i="88" s="1"/>
  <c r="BS45" i="88"/>
  <c r="BS63" i="88" s="1"/>
  <c r="BS44" i="88"/>
  <c r="BS64" i="88" s="1"/>
  <c r="BS33" i="88"/>
  <c r="BS28" i="88" s="1"/>
  <c r="BS40" i="88"/>
  <c r="BS39" i="88"/>
  <c r="BS37" i="88"/>
  <c r="BS35" i="88"/>
  <c r="BS27" i="88"/>
  <c r="BS23" i="88"/>
  <c r="BS43" i="88"/>
  <c r="BS61" i="88" s="1"/>
  <c r="BS38" i="88"/>
  <c r="BS36" i="88"/>
  <c r="BS34" i="88"/>
  <c r="BC42" i="88"/>
  <c r="BC60" i="88" s="1"/>
  <c r="BC45" i="88"/>
  <c r="BC63" i="88" s="1"/>
  <c r="BC44" i="88"/>
  <c r="BC64" i="88" s="1"/>
  <c r="BC33" i="88"/>
  <c r="BC28" i="88" s="1"/>
  <c r="BC40" i="88"/>
  <c r="BC39" i="88"/>
  <c r="BC37" i="88"/>
  <c r="BC35" i="88"/>
  <c r="BC27" i="88"/>
  <c r="BC43" i="88"/>
  <c r="BC61" i="88" s="1"/>
  <c r="BC23" i="88"/>
  <c r="BC38" i="88"/>
  <c r="BC34" i="88"/>
  <c r="BC36" i="88"/>
  <c r="AM42" i="88"/>
  <c r="AM60" i="88" s="1"/>
  <c r="AM45" i="88"/>
  <c r="AM63" i="88" s="1"/>
  <c r="AM44" i="88"/>
  <c r="AM64" i="88" s="1"/>
  <c r="AM33" i="88"/>
  <c r="AM28" i="88" s="1"/>
  <c r="AM40" i="88"/>
  <c r="AM39" i="88"/>
  <c r="AM37" i="88"/>
  <c r="AM35" i="88"/>
  <c r="AM27" i="88"/>
  <c r="AM23" i="88"/>
  <c r="AM34" i="88"/>
  <c r="AM43" i="88"/>
  <c r="AM61" i="88" s="1"/>
  <c r="AM38" i="88"/>
  <c r="AM36" i="88"/>
  <c r="W42" i="88"/>
  <c r="W60" i="88" s="1"/>
  <c r="W45" i="88"/>
  <c r="W63" i="88" s="1"/>
  <c r="W44" i="88"/>
  <c r="W64" i="88" s="1"/>
  <c r="W33" i="88"/>
  <c r="W28" i="88" s="1"/>
  <c r="W40" i="88"/>
  <c r="W39" i="88"/>
  <c r="W37" i="88"/>
  <c r="W35" i="88"/>
  <c r="W27" i="88"/>
  <c r="W23" i="88"/>
  <c r="W38" i="88"/>
  <c r="W43" i="88"/>
  <c r="W61" i="88" s="1"/>
  <c r="W36" i="88"/>
  <c r="W34" i="88"/>
  <c r="G42" i="88"/>
  <c r="G45" i="88"/>
  <c r="G44" i="88"/>
  <c r="G40" i="88"/>
  <c r="G39" i="88"/>
  <c r="G37" i="88"/>
  <c r="G35" i="88"/>
  <c r="G34" i="88"/>
  <c r="G38" i="88"/>
  <c r="G36" i="88"/>
  <c r="G23" i="88"/>
  <c r="CM16" i="88"/>
  <c r="G43" i="88"/>
  <c r="CM26" i="88"/>
  <c r="CA28" i="88"/>
  <c r="AM54" i="88"/>
  <c r="BM66" i="88"/>
  <c r="CH43" i="88"/>
  <c r="CH61" i="88" s="1"/>
  <c r="CH42" i="88"/>
  <c r="CH60" i="88" s="1"/>
  <c r="CH45" i="88"/>
  <c r="CH63" i="88" s="1"/>
  <c r="CH40" i="88"/>
  <c r="CH38" i="88"/>
  <c r="CH36" i="88"/>
  <c r="CH34" i="88"/>
  <c r="CH33" i="88"/>
  <c r="CH44" i="88"/>
  <c r="CH64" i="88" s="1"/>
  <c r="CH39" i="88"/>
  <c r="CH37" i="88"/>
  <c r="CH35" i="88"/>
  <c r="CH27" i="88"/>
  <c r="CH23" i="88"/>
  <c r="V43" i="88"/>
  <c r="V61" i="88" s="1"/>
  <c r="V42" i="88"/>
  <c r="V60" i="88" s="1"/>
  <c r="V45" i="88"/>
  <c r="V63" i="88" s="1"/>
  <c r="V40" i="88"/>
  <c r="V38" i="88"/>
  <c r="V36" i="88"/>
  <c r="V34" i="88"/>
  <c r="V33" i="88"/>
  <c r="V28" i="88" s="1"/>
  <c r="V44" i="88"/>
  <c r="V64" i="88" s="1"/>
  <c r="V39" i="88"/>
  <c r="V37" i="88"/>
  <c r="V35" i="88"/>
  <c r="V27" i="88"/>
  <c r="V23" i="88"/>
  <c r="BA66" i="88"/>
  <c r="S54" i="88"/>
  <c r="AC66" i="88"/>
  <c r="AX43" i="88"/>
  <c r="AX61" i="88" s="1"/>
  <c r="AX42" i="88"/>
  <c r="AX60" i="88" s="1"/>
  <c r="AX45" i="88"/>
  <c r="AX63" i="88" s="1"/>
  <c r="AX40" i="88"/>
  <c r="AX38" i="88"/>
  <c r="AX36" i="88"/>
  <c r="AX34" i="88"/>
  <c r="AX33" i="88"/>
  <c r="AX39" i="88"/>
  <c r="AX37" i="88"/>
  <c r="AX35" i="88"/>
  <c r="AX27" i="88"/>
  <c r="AX23" i="88"/>
  <c r="AX44" i="88"/>
  <c r="AX64" i="88" s="1"/>
  <c r="N50" i="88"/>
  <c r="N52" i="88" s="1"/>
  <c r="J54" i="88"/>
  <c r="CM22" i="88"/>
  <c r="CA54" i="88"/>
  <c r="O54" i="88"/>
  <c r="AO66" i="88"/>
  <c r="BF41" i="88"/>
  <c r="BF62" i="88" s="1"/>
  <c r="BF65" i="88" s="1"/>
  <c r="BF67" i="88" s="1"/>
  <c r="CM31" i="88"/>
  <c r="CK44" i="88"/>
  <c r="CK64" i="88" s="1"/>
  <c r="CK43" i="88"/>
  <c r="CK61" i="88" s="1"/>
  <c r="CK42" i="88"/>
  <c r="CK60" i="88" s="1"/>
  <c r="CK45" i="88"/>
  <c r="CK63" i="88" s="1"/>
  <c r="CK40" i="88"/>
  <c r="CK39" i="88"/>
  <c r="CK38" i="88"/>
  <c r="CK36" i="88"/>
  <c r="CK34" i="88"/>
  <c r="CK33" i="88"/>
  <c r="CK28" i="88" s="1"/>
  <c r="CK35" i="88"/>
  <c r="CK27" i="88"/>
  <c r="CK37" i="88"/>
  <c r="CK23" i="88"/>
  <c r="AO44" i="88"/>
  <c r="AO64" i="88" s="1"/>
  <c r="AO43" i="88"/>
  <c r="AO61" i="88" s="1"/>
  <c r="AO42" i="88"/>
  <c r="AO60" i="88" s="1"/>
  <c r="AO45" i="88"/>
  <c r="AO63" i="88" s="1"/>
  <c r="AO40" i="88"/>
  <c r="AO38" i="88"/>
  <c r="AO36" i="88"/>
  <c r="AO34" i="88"/>
  <c r="AO33" i="88"/>
  <c r="AO28" i="88" s="1"/>
  <c r="AO35" i="88"/>
  <c r="AO27" i="88"/>
  <c r="AO39" i="88"/>
  <c r="AO23" i="88"/>
  <c r="AO37" i="88"/>
  <c r="G53" i="88"/>
  <c r="AO54" i="88"/>
  <c r="BL45" i="88"/>
  <c r="BL63" i="88" s="1"/>
  <c r="BL40" i="88"/>
  <c r="BL44" i="88"/>
  <c r="BL64" i="88" s="1"/>
  <c r="BL43" i="88"/>
  <c r="BL61" i="88" s="1"/>
  <c r="BL39" i="88"/>
  <c r="BL37" i="88"/>
  <c r="BL35" i="88"/>
  <c r="BL27" i="88"/>
  <c r="BL42" i="88"/>
  <c r="BL60" i="88" s="1"/>
  <c r="BL38" i="88"/>
  <c r="BL36" i="88"/>
  <c r="BL34" i="88"/>
  <c r="BL23" i="88"/>
  <c r="BL33" i="88"/>
  <c r="BL28" i="88" s="1"/>
  <c r="P45" i="88"/>
  <c r="P63" i="88" s="1"/>
  <c r="P40" i="88"/>
  <c r="P44" i="88"/>
  <c r="P64" i="88" s="1"/>
  <c r="P43" i="88"/>
  <c r="P61" i="88" s="1"/>
  <c r="P39" i="88"/>
  <c r="P37" i="88"/>
  <c r="P35" i="88"/>
  <c r="P42" i="88"/>
  <c r="P60" i="88" s="1"/>
  <c r="P38" i="88"/>
  <c r="P36" i="88"/>
  <c r="P34" i="88"/>
  <c r="CB50" i="88"/>
  <c r="CB52" i="88" s="1"/>
  <c r="AR50" i="88"/>
  <c r="AR52" i="88" s="1"/>
  <c r="AJ50" i="88"/>
  <c r="AJ52" i="88" s="1"/>
  <c r="AB28" i="88"/>
  <c r="X50" i="88"/>
  <c r="X52" i="88" s="1"/>
  <c r="BK42" i="88"/>
  <c r="BK60" i="88" s="1"/>
  <c r="BK45" i="88"/>
  <c r="BK63" i="88" s="1"/>
  <c r="BK44" i="88"/>
  <c r="BK64" i="88" s="1"/>
  <c r="BK33" i="88"/>
  <c r="BK28" i="88" s="1"/>
  <c r="BK43" i="88"/>
  <c r="BK61" i="88" s="1"/>
  <c r="BK40" i="88"/>
  <c r="BK39" i="88"/>
  <c r="BK37" i="88"/>
  <c r="BK35" i="88"/>
  <c r="BK27" i="88"/>
  <c r="BK36" i="88"/>
  <c r="BK23" i="88"/>
  <c r="BK34" i="88"/>
  <c r="BK38" i="88"/>
  <c r="AE42" i="88"/>
  <c r="AE60" i="88" s="1"/>
  <c r="AE45" i="88"/>
  <c r="AE63" i="88" s="1"/>
  <c r="AE44" i="88"/>
  <c r="AE64" i="88" s="1"/>
  <c r="AE33" i="88"/>
  <c r="AE28" i="88" s="1"/>
  <c r="AE43" i="88"/>
  <c r="AE61" i="88" s="1"/>
  <c r="AE40" i="88"/>
  <c r="AE39" i="88"/>
  <c r="AE37" i="88"/>
  <c r="AE35" i="88"/>
  <c r="AE27" i="88"/>
  <c r="AE36" i="88"/>
  <c r="AE23" i="88"/>
  <c r="AE34" i="88"/>
  <c r="AE38" i="88"/>
  <c r="G54" i="88"/>
  <c r="CM18" i="88"/>
  <c r="R43" i="88"/>
  <c r="R61" i="88" s="1"/>
  <c r="R42" i="88"/>
  <c r="R60" i="88" s="1"/>
  <c r="R45" i="88"/>
  <c r="R63" i="88" s="1"/>
  <c r="R40" i="88"/>
  <c r="R38" i="88"/>
  <c r="R36" i="88"/>
  <c r="R34" i="88"/>
  <c r="R39" i="88"/>
  <c r="R37" i="88"/>
  <c r="R35" i="88"/>
  <c r="R44" i="88"/>
  <c r="R64" i="88" s="1"/>
  <c r="CL50" i="88"/>
  <c r="CL52" i="88" s="1"/>
  <c r="BZ50" i="88"/>
  <c r="BZ52" i="88" s="1"/>
  <c r="BN50" i="88"/>
  <c r="BN52" i="88" s="1"/>
  <c r="BB50" i="88"/>
  <c r="BB52" i="88" s="1"/>
  <c r="AP50" i="88"/>
  <c r="AP52" i="88" s="1"/>
  <c r="V50" i="88"/>
  <c r="V52" i="88" s="1"/>
  <c r="BU66" i="88"/>
  <c r="BD50" i="88"/>
  <c r="BD52" i="88" s="1"/>
  <c r="BY44" i="88"/>
  <c r="BY64" i="88" s="1"/>
  <c r="BY43" i="88"/>
  <c r="BY61" i="88" s="1"/>
  <c r="BY42" i="88"/>
  <c r="BY60" i="88" s="1"/>
  <c r="BY38" i="88"/>
  <c r="BY36" i="88"/>
  <c r="BY34" i="88"/>
  <c r="BY40" i="88"/>
  <c r="BY33" i="88"/>
  <c r="BY28" i="88" s="1"/>
  <c r="BY45" i="88"/>
  <c r="BY63" i="88" s="1"/>
  <c r="BY27" i="88"/>
  <c r="BY35" i="88"/>
  <c r="BY39" i="88"/>
  <c r="BY37" i="88"/>
  <c r="BY23" i="88"/>
  <c r="BI44" i="88"/>
  <c r="BI64" i="88" s="1"/>
  <c r="BI43" i="88"/>
  <c r="BI61" i="88" s="1"/>
  <c r="BI42" i="88"/>
  <c r="BI60" i="88" s="1"/>
  <c r="BI38" i="88"/>
  <c r="BI36" i="88"/>
  <c r="BI34" i="88"/>
  <c r="BI40" i="88"/>
  <c r="BI33" i="88"/>
  <c r="BI28" i="88" s="1"/>
  <c r="BI27" i="88"/>
  <c r="BI45" i="88"/>
  <c r="BI63" i="88" s="1"/>
  <c r="BI39" i="88"/>
  <c r="BI35" i="88"/>
  <c r="BI37" i="88"/>
  <c r="BI23" i="88"/>
  <c r="AS44" i="88"/>
  <c r="AS64" i="88" s="1"/>
  <c r="AS43" i="88"/>
  <c r="AS61" i="88" s="1"/>
  <c r="AS42" i="88"/>
  <c r="AS60" i="88" s="1"/>
  <c r="AS38" i="88"/>
  <c r="AS36" i="88"/>
  <c r="AS34" i="88"/>
  <c r="AS40" i="88"/>
  <c r="AS33" i="88"/>
  <c r="AS28" i="88" s="1"/>
  <c r="AS27" i="88"/>
  <c r="AS39" i="88"/>
  <c r="AS45" i="88"/>
  <c r="AS63" i="88" s="1"/>
  <c r="AS37" i="88"/>
  <c r="AS23" i="88"/>
  <c r="AS35" i="88"/>
  <c r="AC44" i="88"/>
  <c r="AC64" i="88" s="1"/>
  <c r="AC43" i="88"/>
  <c r="AC61" i="88" s="1"/>
  <c r="AC42" i="88"/>
  <c r="AC60" i="88" s="1"/>
  <c r="AC38" i="88"/>
  <c r="AC36" i="88"/>
  <c r="AC34" i="88"/>
  <c r="AC40" i="88"/>
  <c r="AC33" i="88"/>
  <c r="AC28" i="88" s="1"/>
  <c r="AC27" i="88"/>
  <c r="AC35" i="88"/>
  <c r="AC39" i="88"/>
  <c r="AC37" i="88"/>
  <c r="AC23" i="88"/>
  <c r="AC55" i="88" s="1"/>
  <c r="AC45" i="88"/>
  <c r="AC63" i="88" s="1"/>
  <c r="M44" i="88"/>
  <c r="M64" i="88" s="1"/>
  <c r="M43" i="88"/>
  <c r="M61" i="88" s="1"/>
  <c r="M42" i="88"/>
  <c r="M60" i="88" s="1"/>
  <c r="M38" i="88"/>
  <c r="M36" i="88"/>
  <c r="M34" i="88"/>
  <c r="M40" i="88"/>
  <c r="M45" i="88"/>
  <c r="M63" i="88" s="1"/>
  <c r="M39" i="88"/>
  <c r="M35" i="88"/>
  <c r="M37" i="88"/>
  <c r="CM30" i="88"/>
  <c r="X51" i="88"/>
  <c r="X53" i="88" s="1"/>
  <c r="AN51" i="88"/>
  <c r="AN53" i="88" s="1"/>
  <c r="BD51" i="88"/>
  <c r="BD53" i="88" s="1"/>
  <c r="AH51" i="88"/>
  <c r="AH53" i="88" s="1"/>
  <c r="AX51" i="88"/>
  <c r="AX53" i="88" s="1"/>
  <c r="BN51" i="88"/>
  <c r="BN53" i="88" s="1"/>
  <c r="CD51" i="88"/>
  <c r="CD53" i="88" s="1"/>
  <c r="CM19" i="88"/>
  <c r="BY54" i="88"/>
  <c r="BI54" i="88"/>
  <c r="AS54" i="88"/>
  <c r="AC54" i="88"/>
  <c r="M54" i="88"/>
  <c r="CA66" i="88"/>
  <c r="BK66" i="88"/>
  <c r="AU66" i="88"/>
  <c r="AE66" i="88"/>
  <c r="O66" i="88"/>
  <c r="CF45" i="88"/>
  <c r="CF63" i="88" s="1"/>
  <c r="CF40" i="88"/>
  <c r="CF44" i="88"/>
  <c r="CF64" i="88" s="1"/>
  <c r="CF43" i="88"/>
  <c r="CF61" i="88" s="1"/>
  <c r="CF39" i="88"/>
  <c r="CF37" i="88"/>
  <c r="CF35" i="88"/>
  <c r="CF27" i="88"/>
  <c r="CF42" i="88"/>
  <c r="CF60" i="88" s="1"/>
  <c r="CF38" i="88"/>
  <c r="CF36" i="88"/>
  <c r="CF34" i="88"/>
  <c r="CF33" i="88"/>
  <c r="CF28" i="88" s="1"/>
  <c r="CF23" i="88"/>
  <c r="BP45" i="88"/>
  <c r="BP63" i="88" s="1"/>
  <c r="BP40" i="88"/>
  <c r="BP44" i="88"/>
  <c r="BP64" i="88" s="1"/>
  <c r="BP43" i="88"/>
  <c r="BP61" i="88" s="1"/>
  <c r="BP39" i="88"/>
  <c r="BP37" i="88"/>
  <c r="BP35" i="88"/>
  <c r="BP27" i="88"/>
  <c r="BP42" i="88"/>
  <c r="BP60" i="88" s="1"/>
  <c r="BP38" i="88"/>
  <c r="BP36" i="88"/>
  <c r="BP34" i="88"/>
  <c r="BP33" i="88"/>
  <c r="BP28" i="88" s="1"/>
  <c r="BP23" i="88"/>
  <c r="AZ45" i="88"/>
  <c r="AZ63" i="88" s="1"/>
  <c r="AZ40" i="88"/>
  <c r="AZ44" i="88"/>
  <c r="AZ64" i="88" s="1"/>
  <c r="AZ43" i="88"/>
  <c r="AZ61" i="88" s="1"/>
  <c r="AZ39" i="88"/>
  <c r="AZ37" i="88"/>
  <c r="AZ35" i="88"/>
  <c r="AZ27" i="88"/>
  <c r="AZ42" i="88"/>
  <c r="AZ60" i="88" s="1"/>
  <c r="AZ38" i="88"/>
  <c r="AZ36" i="88"/>
  <c r="AZ34" i="88"/>
  <c r="AZ33" i="88"/>
  <c r="AZ28" i="88" s="1"/>
  <c r="AZ23" i="88"/>
  <c r="AJ45" i="88"/>
  <c r="AJ63" i="88" s="1"/>
  <c r="AJ40" i="88"/>
  <c r="AJ44" i="88"/>
  <c r="AJ64" i="88" s="1"/>
  <c r="AJ43" i="88"/>
  <c r="AJ61" i="88" s="1"/>
  <c r="AJ39" i="88"/>
  <c r="AJ37" i="88"/>
  <c r="AJ35" i="88"/>
  <c r="AJ27" i="88"/>
  <c r="AJ42" i="88"/>
  <c r="AJ60" i="88" s="1"/>
  <c r="AJ38" i="88"/>
  <c r="AJ36" i="88"/>
  <c r="AJ34" i="88"/>
  <c r="AJ33" i="88"/>
  <c r="AJ28" i="88" s="1"/>
  <c r="AJ23" i="88"/>
  <c r="T45" i="88"/>
  <c r="T63" i="88" s="1"/>
  <c r="T40" i="88"/>
  <c r="T44" i="88"/>
  <c r="T64" i="88" s="1"/>
  <c r="T43" i="88"/>
  <c r="T61" i="88" s="1"/>
  <c r="T39" i="88"/>
  <c r="T37" i="88"/>
  <c r="T35" i="88"/>
  <c r="T27" i="88"/>
  <c r="T42" i="88"/>
  <c r="T60" i="88" s="1"/>
  <c r="T38" i="88"/>
  <c r="T36" i="88"/>
  <c r="T34" i="88"/>
  <c r="T33" i="88"/>
  <c r="T23" i="88"/>
  <c r="CF50" i="88"/>
  <c r="CF52" i="88" s="1"/>
  <c r="BL50" i="88"/>
  <c r="BL52" i="88" s="1"/>
  <c r="AB50" i="88"/>
  <c r="AB52" i="88" s="1"/>
  <c r="T50" i="88"/>
  <c r="T52" i="88" s="1"/>
  <c r="CJ50" i="88"/>
  <c r="CJ52" i="88" s="1"/>
  <c r="CB54" i="88"/>
  <c r="BL54" i="88"/>
  <c r="AV54" i="88"/>
  <c r="AF54" i="88"/>
  <c r="P54" i="88"/>
  <c r="CE42" i="88"/>
  <c r="CE60" i="88" s="1"/>
  <c r="CE45" i="88"/>
  <c r="CE63" i="88" s="1"/>
  <c r="CE44" i="88"/>
  <c r="CE64" i="88" s="1"/>
  <c r="CE43" i="88"/>
  <c r="CE61" i="88" s="1"/>
  <c r="CE33" i="88"/>
  <c r="CE28" i="88" s="1"/>
  <c r="CE39" i="88"/>
  <c r="CE37" i="88"/>
  <c r="CE35" i="88"/>
  <c r="CE27" i="88"/>
  <c r="CE34" i="88"/>
  <c r="CE23" i="88"/>
  <c r="CE40" i="88"/>
  <c r="CE38" i="88"/>
  <c r="CE36" i="88"/>
  <c r="BO42" i="88"/>
  <c r="BO60" i="88" s="1"/>
  <c r="BO45" i="88"/>
  <c r="BO63" i="88" s="1"/>
  <c r="BO44" i="88"/>
  <c r="BO64" i="88" s="1"/>
  <c r="BO43" i="88"/>
  <c r="BO61" i="88" s="1"/>
  <c r="BO33" i="88"/>
  <c r="BO28" i="88" s="1"/>
  <c r="BO39" i="88"/>
  <c r="BO37" i="88"/>
  <c r="BO35" i="88"/>
  <c r="BO27" i="88"/>
  <c r="BO34" i="88"/>
  <c r="BO23" i="88"/>
  <c r="BO36" i="88"/>
  <c r="BO40" i="88"/>
  <c r="BO38" i="88"/>
  <c r="AY42" i="88"/>
  <c r="AY60" i="88" s="1"/>
  <c r="AY45" i="88"/>
  <c r="AY63" i="88" s="1"/>
  <c r="AY44" i="88"/>
  <c r="AY64" i="88" s="1"/>
  <c r="AY43" i="88"/>
  <c r="AY61" i="88" s="1"/>
  <c r="AY33" i="88"/>
  <c r="AY28" i="88" s="1"/>
  <c r="AY39" i="88"/>
  <c r="AY37" i="88"/>
  <c r="AY35" i="88"/>
  <c r="AY27" i="88"/>
  <c r="AY34" i="88"/>
  <c r="AY23" i="88"/>
  <c r="AY40" i="88"/>
  <c r="AY36" i="88"/>
  <c r="AY38" i="88"/>
  <c r="AI42" i="88"/>
  <c r="AI60" i="88" s="1"/>
  <c r="AI45" i="88"/>
  <c r="AI63" i="88" s="1"/>
  <c r="AI44" i="88"/>
  <c r="AI64" i="88" s="1"/>
  <c r="AI43" i="88"/>
  <c r="AI61" i="88" s="1"/>
  <c r="AI33" i="88"/>
  <c r="AI28" i="88" s="1"/>
  <c r="AI39" i="88"/>
  <c r="AI37" i="88"/>
  <c r="AI35" i="88"/>
  <c r="AI27" i="88"/>
  <c r="AI34" i="88"/>
  <c r="AI23" i="88"/>
  <c r="AI40" i="88"/>
  <c r="AI38" i="88"/>
  <c r="AI36" i="88"/>
  <c r="S42" i="88"/>
  <c r="S60" i="88" s="1"/>
  <c r="S45" i="88"/>
  <c r="S63" i="88" s="1"/>
  <c r="S44" i="88"/>
  <c r="S64" i="88" s="1"/>
  <c r="S43" i="88"/>
  <c r="S61" i="88" s="1"/>
  <c r="S39" i="88"/>
  <c r="S37" i="88"/>
  <c r="S35" i="88"/>
  <c r="S34" i="88"/>
  <c r="S36" i="88"/>
  <c r="S38" i="88"/>
  <c r="S40" i="88"/>
  <c r="CM32" i="88"/>
  <c r="CI50" i="88"/>
  <c r="CI52" i="88" s="1"/>
  <c r="CA50" i="88"/>
  <c r="CA52" i="88" s="1"/>
  <c r="BS50" i="88"/>
  <c r="BS52" i="88" s="1"/>
  <c r="BK50" i="88"/>
  <c r="BK52" i="88" s="1"/>
  <c r="BC50" i="88"/>
  <c r="BC52" i="88" s="1"/>
  <c r="AU50" i="88"/>
  <c r="AU52" i="88" s="1"/>
  <c r="AM50" i="88"/>
  <c r="AM52" i="88" s="1"/>
  <c r="AE50" i="88"/>
  <c r="AE52" i="88" s="1"/>
  <c r="W50" i="88"/>
  <c r="W52" i="88" s="1"/>
  <c r="G52" i="88"/>
  <c r="CI54" i="88"/>
  <c r="W54" i="88"/>
  <c r="AW66" i="88"/>
  <c r="BR43" i="88"/>
  <c r="BR61" i="88" s="1"/>
  <c r="BR42" i="88"/>
  <c r="BR60" i="88" s="1"/>
  <c r="BR45" i="88"/>
  <c r="BR63" i="88" s="1"/>
  <c r="BR40" i="88"/>
  <c r="BR38" i="88"/>
  <c r="BR36" i="88"/>
  <c r="BR34" i="88"/>
  <c r="BR33" i="88"/>
  <c r="BR28" i="88" s="1"/>
  <c r="BR44" i="88"/>
  <c r="BR64" i="88" s="1"/>
  <c r="BR39" i="88"/>
  <c r="BR37" i="88"/>
  <c r="BR35" i="88"/>
  <c r="BR27" i="88"/>
  <c r="BR23" i="88"/>
  <c r="U66" i="88"/>
  <c r="AP41" i="88"/>
  <c r="AP62" i="88" s="1"/>
  <c r="AP65" i="88" s="1"/>
  <c r="AP67" i="88" s="1"/>
  <c r="BY66" i="88"/>
  <c r="M66" i="88"/>
  <c r="AH43" i="88"/>
  <c r="AH61" i="88" s="1"/>
  <c r="AH42" i="88"/>
  <c r="AH60" i="88" s="1"/>
  <c r="AH45" i="88"/>
  <c r="AH63" i="88" s="1"/>
  <c r="AH40" i="88"/>
  <c r="AH38" i="88"/>
  <c r="AH36" i="88"/>
  <c r="AH34" i="88"/>
  <c r="AH33" i="88"/>
  <c r="AH28" i="88" s="1"/>
  <c r="AH39" i="88"/>
  <c r="AH37" i="88"/>
  <c r="AH35" i="88"/>
  <c r="AH27" i="88"/>
  <c r="AH44" i="88"/>
  <c r="AH64" i="88" s="1"/>
  <c r="AH23" i="88"/>
  <c r="AH55" i="88" s="1"/>
  <c r="CL28" i="88"/>
  <c r="CH28" i="88"/>
  <c r="BZ28" i="88"/>
  <c r="BV28" i="88"/>
  <c r="BJ28" i="88"/>
  <c r="BF28" i="88"/>
  <c r="AX28" i="88"/>
  <c r="AT28" i="88"/>
  <c r="AP28" i="88"/>
  <c r="AD28" i="88"/>
  <c r="Z28" i="88"/>
  <c r="R50" i="88"/>
  <c r="R52" i="88" s="1"/>
  <c r="N54" i="88"/>
  <c r="CG66" i="88"/>
  <c r="J41" i="88"/>
  <c r="J62" i="88" s="1"/>
  <c r="J65" i="88" s="1"/>
  <c r="J67" i="88" s="1"/>
  <c r="J68" i="88" s="1"/>
  <c r="BK54" i="88"/>
  <c r="CK66" i="88"/>
  <c r="Y66" i="88"/>
  <c r="BK51" i="88"/>
  <c r="BK53" i="88" s="1"/>
  <c r="CL41" i="88"/>
  <c r="CL62" i="88" s="1"/>
  <c r="CL65" i="88" s="1"/>
  <c r="CL67" i="88" s="1"/>
  <c r="BF55" i="88"/>
  <c r="BZ41" i="88"/>
  <c r="BZ62" i="88" s="1"/>
  <c r="BZ65" i="88" s="1"/>
  <c r="BJ55" i="88"/>
  <c r="AT41" i="88"/>
  <c r="AT62" i="88" s="1"/>
  <c r="AT65" i="88" s="1"/>
  <c r="AT67" i="88" s="1"/>
  <c r="AT68" i="88" s="1"/>
  <c r="AT69" i="88" s="1"/>
  <c r="AD55" i="88"/>
  <c r="AD65" i="88"/>
  <c r="AD67" i="88" s="1"/>
  <c r="AD68" i="88" s="1"/>
  <c r="CI64" i="83"/>
  <c r="BS64" i="83"/>
  <c r="BC64" i="83"/>
  <c r="AM64" i="83"/>
  <c r="W64" i="83"/>
  <c r="CD64" i="83"/>
  <c r="BN64" i="83"/>
  <c r="AX64" i="83"/>
  <c r="AH64" i="83"/>
  <c r="R64" i="83"/>
  <c r="BL64" i="83"/>
  <c r="AV64" i="83"/>
  <c r="P64" i="83"/>
  <c r="CM48" i="83"/>
  <c r="CM49" i="83"/>
  <c r="CB64" i="83"/>
  <c r="AF64" i="83"/>
  <c r="AK45" i="83"/>
  <c r="AK61" i="83" s="1"/>
  <c r="AK43" i="83"/>
  <c r="AK59" i="83" s="1"/>
  <c r="AK39" i="83"/>
  <c r="AK37" i="83"/>
  <c r="AK42" i="83"/>
  <c r="AK58" i="83" s="1"/>
  <c r="AK40" i="83"/>
  <c r="AK38" i="83"/>
  <c r="AK44" i="83"/>
  <c r="AK62" i="83" s="1"/>
  <c r="AK35" i="83"/>
  <c r="AK36" i="83"/>
  <c r="AK34" i="83"/>
  <c r="AK33" i="83"/>
  <c r="AK27" i="83"/>
  <c r="CC45" i="83"/>
  <c r="CC61" i="83" s="1"/>
  <c r="CC44" i="83"/>
  <c r="CC62" i="83" s="1"/>
  <c r="CC43" i="83"/>
  <c r="CC59" i="83" s="1"/>
  <c r="CC39" i="83"/>
  <c r="CC37" i="83"/>
  <c r="CC42" i="83"/>
  <c r="CC58" i="83" s="1"/>
  <c r="CC40" i="83"/>
  <c r="CC38" i="83"/>
  <c r="CC35" i="83"/>
  <c r="CC27" i="83"/>
  <c r="CC55" i="83" s="1"/>
  <c r="CC36" i="83"/>
  <c r="CC34" i="83"/>
  <c r="CC33" i="83"/>
  <c r="AW45" i="83"/>
  <c r="AW61" i="83" s="1"/>
  <c r="AW43" i="83"/>
  <c r="AW59" i="83" s="1"/>
  <c r="AW39" i="83"/>
  <c r="AW37" i="83"/>
  <c r="AW42" i="83"/>
  <c r="AW58" i="83" s="1"/>
  <c r="AW40" i="83"/>
  <c r="AW38" i="83"/>
  <c r="AW44" i="83"/>
  <c r="AW62" i="83" s="1"/>
  <c r="AW35" i="83"/>
  <c r="AW36" i="83"/>
  <c r="AW34" i="83"/>
  <c r="AW33" i="83"/>
  <c r="AW27" i="83"/>
  <c r="BY45" i="83"/>
  <c r="BY61" i="83" s="1"/>
  <c r="BY43" i="83"/>
  <c r="BY59" i="83" s="1"/>
  <c r="BY39" i="83"/>
  <c r="BY37" i="83"/>
  <c r="BY42" i="83"/>
  <c r="BY58" i="83" s="1"/>
  <c r="BY40" i="83"/>
  <c r="BY38" i="83"/>
  <c r="BY44" i="83"/>
  <c r="BY62" i="83" s="1"/>
  <c r="BY35" i="83"/>
  <c r="BY27" i="83"/>
  <c r="BY55" i="83" s="1"/>
  <c r="BY36" i="83"/>
  <c r="BY34" i="83"/>
  <c r="BY33" i="83"/>
  <c r="BI45" i="83"/>
  <c r="BI61" i="83" s="1"/>
  <c r="BI43" i="83"/>
  <c r="BI59" i="83" s="1"/>
  <c r="BI39" i="83"/>
  <c r="BI37" i="83"/>
  <c r="BI42" i="83"/>
  <c r="BI58" i="83" s="1"/>
  <c r="BI40" i="83"/>
  <c r="BI38" i="83"/>
  <c r="BI44" i="83"/>
  <c r="BI62" i="83" s="1"/>
  <c r="BI35" i="83"/>
  <c r="BI36" i="83"/>
  <c r="BI34" i="83"/>
  <c r="BI33" i="83"/>
  <c r="BI27" i="83"/>
  <c r="AS45" i="83"/>
  <c r="AS61" i="83" s="1"/>
  <c r="AS43" i="83"/>
  <c r="AS59" i="83" s="1"/>
  <c r="AS39" i="83"/>
  <c r="AS37" i="83"/>
  <c r="AS42" i="83"/>
  <c r="AS58" i="83" s="1"/>
  <c r="AS40" i="83"/>
  <c r="AS38" i="83"/>
  <c r="AS44" i="83"/>
  <c r="AS62" i="83" s="1"/>
  <c r="AS35" i="83"/>
  <c r="AS36" i="83"/>
  <c r="AS34" i="83"/>
  <c r="AS33" i="83"/>
  <c r="AS27" i="83"/>
  <c r="AS55" i="83" s="1"/>
  <c r="AC45" i="83"/>
  <c r="AC61" i="83" s="1"/>
  <c r="AC43" i="83"/>
  <c r="AC59" i="83" s="1"/>
  <c r="AC39" i="83"/>
  <c r="AC37" i="83"/>
  <c r="AC42" i="83"/>
  <c r="AC58" i="83" s="1"/>
  <c r="AC40" i="83"/>
  <c r="AC38" i="83"/>
  <c r="AC44" i="83"/>
  <c r="AC62" i="83" s="1"/>
  <c r="AC35" i="83"/>
  <c r="AC36" i="83"/>
  <c r="AC34" i="83"/>
  <c r="AC33" i="83"/>
  <c r="AC27" i="83"/>
  <c r="M45" i="83"/>
  <c r="M61" i="83" s="1"/>
  <c r="M43" i="83"/>
  <c r="M59" i="83" s="1"/>
  <c r="M39" i="83"/>
  <c r="M37" i="83"/>
  <c r="M42" i="83"/>
  <c r="M58" i="83" s="1"/>
  <c r="M40" i="83"/>
  <c r="M38" i="83"/>
  <c r="M44" i="83"/>
  <c r="M62" i="83" s="1"/>
  <c r="M35" i="83"/>
  <c r="M36" i="83"/>
  <c r="M34" i="83"/>
  <c r="CK51" i="83"/>
  <c r="CK53" i="83" s="1"/>
  <c r="CK50" i="83"/>
  <c r="CK52" i="83" s="1"/>
  <c r="BU51" i="83"/>
  <c r="BU53" i="83" s="1"/>
  <c r="BU50" i="83"/>
  <c r="BU52" i="83" s="1"/>
  <c r="BE51" i="83"/>
  <c r="BE53" i="83" s="1"/>
  <c r="BE50" i="83"/>
  <c r="BE52" i="83" s="1"/>
  <c r="AW51" i="83"/>
  <c r="AW53" i="83" s="1"/>
  <c r="AW50" i="83"/>
  <c r="AW52" i="83" s="1"/>
  <c r="AO51" i="83"/>
  <c r="AO53" i="83" s="1"/>
  <c r="AO50" i="83"/>
  <c r="AO52" i="83" s="1"/>
  <c r="AG51" i="83"/>
  <c r="AG53" i="83" s="1"/>
  <c r="AG50" i="83"/>
  <c r="AG52" i="83" s="1"/>
  <c r="Y51" i="83"/>
  <c r="Y53" i="83" s="1"/>
  <c r="Y50" i="83"/>
  <c r="Y52" i="83" s="1"/>
  <c r="M51" i="83"/>
  <c r="M53" i="83" s="1"/>
  <c r="M50" i="83"/>
  <c r="M52" i="83" s="1"/>
  <c r="CF45" i="83"/>
  <c r="CF61" i="83" s="1"/>
  <c r="CF43" i="83"/>
  <c r="CF59" i="83" s="1"/>
  <c r="CF39" i="83"/>
  <c r="CF37" i="83"/>
  <c r="CF42" i="83"/>
  <c r="CF58" i="83" s="1"/>
  <c r="CF44" i="83"/>
  <c r="CF62" i="83" s="1"/>
  <c r="CF40" i="83"/>
  <c r="CF38" i="83"/>
  <c r="CF33" i="83"/>
  <c r="CF35" i="83"/>
  <c r="CF36" i="83"/>
  <c r="CF34" i="83"/>
  <c r="CF27" i="83"/>
  <c r="BP45" i="83"/>
  <c r="BP61" i="83" s="1"/>
  <c r="BP44" i="83"/>
  <c r="BP62" i="83" s="1"/>
  <c r="BP43" i="83"/>
  <c r="BP59" i="83" s="1"/>
  <c r="BP39" i="83"/>
  <c r="BP37" i="83"/>
  <c r="BP42" i="83"/>
  <c r="BP58" i="83" s="1"/>
  <c r="BP40" i="83"/>
  <c r="BP38" i="83"/>
  <c r="BP33" i="83"/>
  <c r="BP35" i="83"/>
  <c r="BP36" i="83"/>
  <c r="BP34" i="83"/>
  <c r="BP27" i="83"/>
  <c r="BP55" i="83"/>
  <c r="AZ45" i="83"/>
  <c r="AZ61" i="83" s="1"/>
  <c r="AZ44" i="83"/>
  <c r="AZ62" i="83" s="1"/>
  <c r="AZ43" i="83"/>
  <c r="AZ59" i="83" s="1"/>
  <c r="AZ39" i="83"/>
  <c r="AZ37" i="83"/>
  <c r="AZ42" i="83"/>
  <c r="AZ58" i="83" s="1"/>
  <c r="AZ40" i="83"/>
  <c r="AZ38" i="83"/>
  <c r="AZ33" i="83"/>
  <c r="AZ35" i="83"/>
  <c r="AZ36" i="83"/>
  <c r="AZ34" i="83"/>
  <c r="AZ27" i="83"/>
  <c r="AJ45" i="83"/>
  <c r="AJ61" i="83" s="1"/>
  <c r="AJ44" i="83"/>
  <c r="AJ62" i="83" s="1"/>
  <c r="AJ43" i="83"/>
  <c r="AJ59" i="83" s="1"/>
  <c r="AJ39" i="83"/>
  <c r="AJ37" i="83"/>
  <c r="AJ42" i="83"/>
  <c r="AJ58" i="83" s="1"/>
  <c r="AJ40" i="83"/>
  <c r="AJ38" i="83"/>
  <c r="AJ33" i="83"/>
  <c r="AJ35" i="83"/>
  <c r="AJ36" i="83"/>
  <c r="AJ34" i="83"/>
  <c r="AJ27" i="83"/>
  <c r="AJ55" i="83" s="1"/>
  <c r="T45" i="83"/>
  <c r="T61" i="83" s="1"/>
  <c r="T44" i="83"/>
  <c r="T62" i="83" s="1"/>
  <c r="T43" i="83"/>
  <c r="T59" i="83" s="1"/>
  <c r="T39" i="83"/>
  <c r="T42" i="83"/>
  <c r="T58" i="83" s="1"/>
  <c r="T40" i="83"/>
  <c r="T38" i="83"/>
  <c r="T33" i="83"/>
  <c r="T35" i="83"/>
  <c r="T37" i="83"/>
  <c r="T36" i="83"/>
  <c r="T34" i="83"/>
  <c r="T27" i="83"/>
  <c r="CF50" i="83"/>
  <c r="CF52" i="83" s="1"/>
  <c r="CF51" i="83"/>
  <c r="CF53" i="83" s="1"/>
  <c r="BX50" i="83"/>
  <c r="BX52" i="83" s="1"/>
  <c r="BX51" i="83"/>
  <c r="BX53" i="83" s="1"/>
  <c r="BP50" i="83"/>
  <c r="BP52" i="83" s="1"/>
  <c r="BP51" i="83"/>
  <c r="BP53" i="83" s="1"/>
  <c r="BH50" i="83"/>
  <c r="BH52" i="83" s="1"/>
  <c r="BH51" i="83"/>
  <c r="BH53" i="83" s="1"/>
  <c r="AZ50" i="83"/>
  <c r="AZ52" i="83" s="1"/>
  <c r="AZ51" i="83"/>
  <c r="AZ53" i="83" s="1"/>
  <c r="AJ50" i="83"/>
  <c r="AJ52" i="83" s="1"/>
  <c r="AJ51" i="83"/>
  <c r="AJ53" i="83" s="1"/>
  <c r="T50" i="83"/>
  <c r="T52" i="83" s="1"/>
  <c r="T51" i="83"/>
  <c r="T53" i="83" s="1"/>
  <c r="P50" i="83"/>
  <c r="P52" i="83" s="1"/>
  <c r="P51" i="83"/>
  <c r="P53" i="83" s="1"/>
  <c r="L50" i="83"/>
  <c r="L52" i="83" s="1"/>
  <c r="L51" i="83"/>
  <c r="L53" i="83" s="1"/>
  <c r="H50" i="83"/>
  <c r="H52" i="83" s="1"/>
  <c r="H51" i="83"/>
  <c r="H53" i="83" s="1"/>
  <c r="CE45" i="83"/>
  <c r="CE61" i="83" s="1"/>
  <c r="CE44" i="83"/>
  <c r="CE62" i="83" s="1"/>
  <c r="CE40" i="83"/>
  <c r="CE38" i="83"/>
  <c r="CE43" i="83"/>
  <c r="CE59" i="83" s="1"/>
  <c r="CE39" i="83"/>
  <c r="CE37" i="83"/>
  <c r="CE42" i="83"/>
  <c r="CE58" i="83" s="1"/>
  <c r="CE36" i="83"/>
  <c r="CE34" i="83"/>
  <c r="CE33" i="83"/>
  <c r="CE35" i="83"/>
  <c r="CE27" i="83"/>
  <c r="BO45" i="83"/>
  <c r="BO61" i="83" s="1"/>
  <c r="BO40" i="83"/>
  <c r="BO38" i="83"/>
  <c r="BO44" i="83"/>
  <c r="BO62" i="83" s="1"/>
  <c r="BO43" i="83"/>
  <c r="BO59" i="83" s="1"/>
  <c r="BO39" i="83"/>
  <c r="BO37" i="83"/>
  <c r="BO42" i="83"/>
  <c r="BO58" i="83" s="1"/>
  <c r="BO36" i="83"/>
  <c r="BO34" i="83"/>
  <c r="BO33" i="83"/>
  <c r="BO35" i="83"/>
  <c r="BO27" i="83"/>
  <c r="AY45" i="83"/>
  <c r="AY61" i="83" s="1"/>
  <c r="AY40" i="83"/>
  <c r="AY38" i="83"/>
  <c r="AY44" i="83"/>
  <c r="AY62" i="83" s="1"/>
  <c r="AY43" i="83"/>
  <c r="AY59" i="83" s="1"/>
  <c r="AY39" i="83"/>
  <c r="AY37" i="83"/>
  <c r="AY42" i="83"/>
  <c r="AY58" i="83" s="1"/>
  <c r="AY36" i="83"/>
  <c r="AY34" i="83"/>
  <c r="AY33" i="83"/>
  <c r="AY35" i="83"/>
  <c r="AY27" i="83"/>
  <c r="AI45" i="83"/>
  <c r="AI61" i="83" s="1"/>
  <c r="AI40" i="83"/>
  <c r="AI38" i="83"/>
  <c r="AI44" i="83"/>
  <c r="AI62" i="83" s="1"/>
  <c r="AI43" i="83"/>
  <c r="AI59" i="83" s="1"/>
  <c r="AI39" i="83"/>
  <c r="AI37" i="83"/>
  <c r="AI42" i="83"/>
  <c r="AI58" i="83" s="1"/>
  <c r="AI36" i="83"/>
  <c r="AI34" i="83"/>
  <c r="AI33" i="83"/>
  <c r="AI35" i="83"/>
  <c r="AI27" i="83"/>
  <c r="S45" i="83"/>
  <c r="S61" i="83" s="1"/>
  <c r="S40" i="83"/>
  <c r="S38" i="83"/>
  <c r="S44" i="83"/>
  <c r="S62" i="83" s="1"/>
  <c r="S43" i="83"/>
  <c r="S59" i="83" s="1"/>
  <c r="S39" i="83"/>
  <c r="S42" i="83"/>
  <c r="S58" i="83" s="1"/>
  <c r="S36" i="83"/>
  <c r="S34" i="83"/>
  <c r="S35" i="83"/>
  <c r="S37" i="83"/>
  <c r="CE51" i="83"/>
  <c r="CE53" i="83" s="1"/>
  <c r="CE50" i="83"/>
  <c r="CE52" i="83" s="1"/>
  <c r="BO51" i="83"/>
  <c r="BO53" i="83" s="1"/>
  <c r="BO50" i="83"/>
  <c r="BO52" i="83" s="1"/>
  <c r="K51" i="83"/>
  <c r="K53" i="83" s="1"/>
  <c r="K50" i="83"/>
  <c r="K52" i="83" s="1"/>
  <c r="AS64" i="83"/>
  <c r="AC64" i="83"/>
  <c r="M64" i="83"/>
  <c r="CD44" i="83"/>
  <c r="CD62" i="83" s="1"/>
  <c r="CD45" i="83"/>
  <c r="CD61" i="83" s="1"/>
  <c r="CD42" i="83"/>
  <c r="CD58" i="83" s="1"/>
  <c r="CD40" i="83"/>
  <c r="CD38" i="83"/>
  <c r="CD43" i="83"/>
  <c r="CD59" i="83" s="1"/>
  <c r="CD39" i="83"/>
  <c r="CD37" i="83"/>
  <c r="CD36" i="83"/>
  <c r="CD34" i="83"/>
  <c r="CD33" i="83"/>
  <c r="CD35" i="83"/>
  <c r="CD27" i="83"/>
  <c r="BN45" i="83"/>
  <c r="BN61" i="83" s="1"/>
  <c r="BN42" i="83"/>
  <c r="BN58" i="83" s="1"/>
  <c r="BN40" i="83"/>
  <c r="BN38" i="83"/>
  <c r="BN44" i="83"/>
  <c r="BN62" i="83" s="1"/>
  <c r="BN43" i="83"/>
  <c r="BN59" i="83" s="1"/>
  <c r="BN39" i="83"/>
  <c r="BN37" i="83"/>
  <c r="BN36" i="83"/>
  <c r="BN34" i="83"/>
  <c r="BN33" i="83"/>
  <c r="BN35" i="83"/>
  <c r="BN27" i="83"/>
  <c r="AX45" i="83"/>
  <c r="AX61" i="83" s="1"/>
  <c r="AX42" i="83"/>
  <c r="AX58" i="83" s="1"/>
  <c r="AX40" i="83"/>
  <c r="AX38" i="83"/>
  <c r="AX44" i="83"/>
  <c r="AX62" i="83" s="1"/>
  <c r="AX43" i="83"/>
  <c r="AX59" i="83" s="1"/>
  <c r="AX39" i="83"/>
  <c r="AX37" i="83"/>
  <c r="AX36" i="83"/>
  <c r="AX34" i="83"/>
  <c r="AX33" i="83"/>
  <c r="AX35" i="83"/>
  <c r="AX27" i="83"/>
  <c r="AH45" i="83"/>
  <c r="AH61" i="83" s="1"/>
  <c r="AH42" i="83"/>
  <c r="AH58" i="83" s="1"/>
  <c r="AH40" i="83"/>
  <c r="AH38" i="83"/>
  <c r="AH44" i="83"/>
  <c r="AH62" i="83" s="1"/>
  <c r="AH43" i="83"/>
  <c r="AH59" i="83" s="1"/>
  <c r="AH39" i="83"/>
  <c r="AH37" i="83"/>
  <c r="AH36" i="83"/>
  <c r="AH34" i="83"/>
  <c r="AH33" i="83"/>
  <c r="AH35" i="83"/>
  <c r="AH27" i="83"/>
  <c r="R45" i="83"/>
  <c r="R61" i="83" s="1"/>
  <c r="R42" i="83"/>
  <c r="R58" i="83" s="1"/>
  <c r="R40" i="83"/>
  <c r="R38" i="83"/>
  <c r="R44" i="83"/>
  <c r="R62" i="83" s="1"/>
  <c r="R43" i="83"/>
  <c r="R59" i="83" s="1"/>
  <c r="R39" i="83"/>
  <c r="R37" i="83"/>
  <c r="R36" i="83"/>
  <c r="R34" i="83"/>
  <c r="R35" i="83"/>
  <c r="V51" i="83"/>
  <c r="V53" i="83" s="1"/>
  <c r="V50" i="83"/>
  <c r="V52" i="83" s="1"/>
  <c r="R51" i="83"/>
  <c r="R53" i="83" s="1"/>
  <c r="R50" i="83"/>
  <c r="R52" i="83" s="1"/>
  <c r="N51" i="83"/>
  <c r="N53" i="83" s="1"/>
  <c r="N50" i="83"/>
  <c r="N52" i="83" s="1"/>
  <c r="J51" i="83"/>
  <c r="J53" i="83" s="1"/>
  <c r="J50" i="83"/>
  <c r="J52" i="83" s="1"/>
  <c r="BI64" i="83"/>
  <c r="BA45" i="83"/>
  <c r="BA61" i="83" s="1"/>
  <c r="BA43" i="83"/>
  <c r="BA59" i="83" s="1"/>
  <c r="BA39" i="83"/>
  <c r="BA37" i="83"/>
  <c r="BA42" i="83"/>
  <c r="BA58" i="83" s="1"/>
  <c r="BA40" i="83"/>
  <c r="BA38" i="83"/>
  <c r="BA44" i="83"/>
  <c r="BA62" i="83" s="1"/>
  <c r="BA35" i="83"/>
  <c r="BA36" i="83"/>
  <c r="BA34" i="83"/>
  <c r="BA33" i="83"/>
  <c r="BA27" i="83"/>
  <c r="BA55" i="83" s="1"/>
  <c r="AG45" i="83"/>
  <c r="AG61" i="83" s="1"/>
  <c r="AG43" i="83"/>
  <c r="AG59" i="83" s="1"/>
  <c r="AG39" i="83"/>
  <c r="AG37" i="83"/>
  <c r="AG42" i="83"/>
  <c r="AG58" i="83" s="1"/>
  <c r="AG40" i="83"/>
  <c r="AG38" i="83"/>
  <c r="AG44" i="83"/>
  <c r="AG62" i="83" s="1"/>
  <c r="AG35" i="83"/>
  <c r="AG36" i="83"/>
  <c r="AG34" i="83"/>
  <c r="AG33" i="83"/>
  <c r="AG27" i="83"/>
  <c r="CK45" i="83"/>
  <c r="CK61" i="83" s="1"/>
  <c r="CK44" i="83"/>
  <c r="CK62" i="83" s="1"/>
  <c r="CK43" i="83"/>
  <c r="CK59" i="83" s="1"/>
  <c r="CK39" i="83"/>
  <c r="CK37" i="83"/>
  <c r="CK42" i="83"/>
  <c r="CK58" i="83" s="1"/>
  <c r="CK40" i="83"/>
  <c r="CK38" i="83"/>
  <c r="CK35" i="83"/>
  <c r="CK27" i="83"/>
  <c r="CK36" i="83"/>
  <c r="CK34" i="83"/>
  <c r="CK33" i="83"/>
  <c r="CK55" i="83"/>
  <c r="BU45" i="83"/>
  <c r="BU61" i="83" s="1"/>
  <c r="BU43" i="83"/>
  <c r="BU59" i="83" s="1"/>
  <c r="BU39" i="83"/>
  <c r="BU37" i="83"/>
  <c r="BU42" i="83"/>
  <c r="BU58" i="83" s="1"/>
  <c r="BU40" i="83"/>
  <c r="BU38" i="83"/>
  <c r="BU44" i="83"/>
  <c r="BU62" i="83" s="1"/>
  <c r="BU35" i="83"/>
  <c r="BU36" i="83"/>
  <c r="BU34" i="83"/>
  <c r="BU33" i="83"/>
  <c r="BU27" i="83"/>
  <c r="BE45" i="83"/>
  <c r="BE61" i="83" s="1"/>
  <c r="BE43" i="83"/>
  <c r="BE59" i="83" s="1"/>
  <c r="BE39" i="83"/>
  <c r="BE37" i="83"/>
  <c r="BE42" i="83"/>
  <c r="BE58" i="83" s="1"/>
  <c r="BE40" i="83"/>
  <c r="BE38" i="83"/>
  <c r="BE44" i="83"/>
  <c r="BE62" i="83" s="1"/>
  <c r="BE35" i="83"/>
  <c r="BE36" i="83"/>
  <c r="BE34" i="83"/>
  <c r="BE33" i="83"/>
  <c r="BE27" i="83"/>
  <c r="BE55" i="83"/>
  <c r="AO45" i="83"/>
  <c r="AO61" i="83" s="1"/>
  <c r="AO43" i="83"/>
  <c r="AO59" i="83" s="1"/>
  <c r="AO39" i="83"/>
  <c r="AO37" i="83"/>
  <c r="AO42" i="83"/>
  <c r="AO58" i="83" s="1"/>
  <c r="AO40" i="83"/>
  <c r="AO38" i="83"/>
  <c r="AO44" i="83"/>
  <c r="AO62" i="83" s="1"/>
  <c r="AO35" i="83"/>
  <c r="AO36" i="83"/>
  <c r="AO34" i="83"/>
  <c r="AO33" i="83"/>
  <c r="AO27" i="83"/>
  <c r="Y45" i="83"/>
  <c r="Y61" i="83" s="1"/>
  <c r="Y43" i="83"/>
  <c r="Y59" i="83" s="1"/>
  <c r="Y39" i="83"/>
  <c r="Y37" i="83"/>
  <c r="Y42" i="83"/>
  <c r="Y58" i="83" s="1"/>
  <c r="Y40" i="83"/>
  <c r="Y38" i="83"/>
  <c r="Y44" i="83"/>
  <c r="Y62" i="83" s="1"/>
  <c r="Y35" i="83"/>
  <c r="Y36" i="83"/>
  <c r="Y34" i="83"/>
  <c r="Y33" i="83"/>
  <c r="Y27" i="83"/>
  <c r="Y55" i="83" s="1"/>
  <c r="I45" i="83"/>
  <c r="I61" i="83" s="1"/>
  <c r="I43" i="83"/>
  <c r="I59" i="83" s="1"/>
  <c r="I39" i="83"/>
  <c r="I42" i="83"/>
  <c r="I58" i="83" s="1"/>
  <c r="I40" i="83"/>
  <c r="I38" i="83"/>
  <c r="I44" i="83"/>
  <c r="I62" i="83" s="1"/>
  <c r="I37" i="83"/>
  <c r="I35" i="83"/>
  <c r="I36" i="83"/>
  <c r="I34" i="83"/>
  <c r="I55" i="83"/>
  <c r="BY51" i="83"/>
  <c r="BY53" i="83" s="1"/>
  <c r="BY50" i="83"/>
  <c r="BY52" i="83" s="1"/>
  <c r="BI51" i="83"/>
  <c r="BI53" i="83" s="1"/>
  <c r="BI50" i="83"/>
  <c r="BI52" i="83" s="1"/>
  <c r="I51" i="83"/>
  <c r="I53" i="83" s="1"/>
  <c r="I50" i="83"/>
  <c r="I52" i="83" s="1"/>
  <c r="CB45" i="83"/>
  <c r="CB61" i="83" s="1"/>
  <c r="CB44" i="83"/>
  <c r="CB62" i="83" s="1"/>
  <c r="CB43" i="83"/>
  <c r="CB59" i="83" s="1"/>
  <c r="CB39" i="83"/>
  <c r="CB37" i="83"/>
  <c r="CB42" i="83"/>
  <c r="CB58" i="83" s="1"/>
  <c r="CB40" i="83"/>
  <c r="CB38" i="83"/>
  <c r="CB33" i="83"/>
  <c r="CB35" i="83"/>
  <c r="CB36" i="83"/>
  <c r="CB34" i="83"/>
  <c r="CB27" i="83"/>
  <c r="CB55" i="83" s="1"/>
  <c r="BL45" i="83"/>
  <c r="BL61" i="83" s="1"/>
  <c r="BL44" i="83"/>
  <c r="BL62" i="83" s="1"/>
  <c r="BL43" i="83"/>
  <c r="BL59" i="83" s="1"/>
  <c r="BL39" i="83"/>
  <c r="BL37" i="83"/>
  <c r="BL42" i="83"/>
  <c r="BL58" i="83" s="1"/>
  <c r="BL40" i="83"/>
  <c r="BL38" i="83"/>
  <c r="BL33" i="83"/>
  <c r="BL35" i="83"/>
  <c r="BL36" i="83"/>
  <c r="BL34" i="83"/>
  <c r="BL27" i="83"/>
  <c r="BL55" i="83" s="1"/>
  <c r="AV45" i="83"/>
  <c r="AV61" i="83" s="1"/>
  <c r="AV44" i="83"/>
  <c r="AV62" i="83" s="1"/>
  <c r="AV43" i="83"/>
  <c r="AV59" i="83" s="1"/>
  <c r="AV39" i="83"/>
  <c r="AV37" i="83"/>
  <c r="AV42" i="83"/>
  <c r="AV58" i="83" s="1"/>
  <c r="AV40" i="83"/>
  <c r="AV38" i="83"/>
  <c r="AV33" i="83"/>
  <c r="AV35" i="83"/>
  <c r="AV36" i="83"/>
  <c r="AV34" i="83"/>
  <c r="AV27" i="83"/>
  <c r="AV55" i="83" s="1"/>
  <c r="AF45" i="83"/>
  <c r="AF61" i="83" s="1"/>
  <c r="AF44" i="83"/>
  <c r="AF62" i="83" s="1"/>
  <c r="AF43" i="83"/>
  <c r="AF59" i="83" s="1"/>
  <c r="AF39" i="83"/>
  <c r="AF37" i="83"/>
  <c r="AF42" i="83"/>
  <c r="AF58" i="83" s="1"/>
  <c r="AF40" i="83"/>
  <c r="AF38" i="83"/>
  <c r="AF33" i="83"/>
  <c r="AF35" i="83"/>
  <c r="AF36" i="83"/>
  <c r="AF34" i="83"/>
  <c r="AF27" i="83"/>
  <c r="AF55" i="83" s="1"/>
  <c r="P45" i="83"/>
  <c r="P61" i="83" s="1"/>
  <c r="P44" i="83"/>
  <c r="P62" i="83" s="1"/>
  <c r="P43" i="83"/>
  <c r="P59" i="83" s="1"/>
  <c r="P39" i="83"/>
  <c r="P42" i="83"/>
  <c r="P58" i="83" s="1"/>
  <c r="P40" i="83"/>
  <c r="P38" i="83"/>
  <c r="P37" i="83"/>
  <c r="P35" i="83"/>
  <c r="P36" i="83"/>
  <c r="P34" i="83"/>
  <c r="AV50" i="83"/>
  <c r="AV52" i="83" s="1"/>
  <c r="AV51" i="83"/>
  <c r="AV53" i="83" s="1"/>
  <c r="AF50" i="83"/>
  <c r="AF52" i="83" s="1"/>
  <c r="AF51" i="83"/>
  <c r="AF53" i="83" s="1"/>
  <c r="CA45" i="83"/>
  <c r="CA61" i="83" s="1"/>
  <c r="CA44" i="83"/>
  <c r="CA62" i="83" s="1"/>
  <c r="CA40" i="83"/>
  <c r="CA38" i="83"/>
  <c r="CA43" i="83"/>
  <c r="CA59" i="83" s="1"/>
  <c r="CA39" i="83"/>
  <c r="CA37" i="83"/>
  <c r="CA42" i="83"/>
  <c r="CA58" i="83" s="1"/>
  <c r="CA36" i="83"/>
  <c r="CA34" i="83"/>
  <c r="CA33" i="83"/>
  <c r="CA35" i="83"/>
  <c r="CA27" i="83"/>
  <c r="BK45" i="83"/>
  <c r="BK61" i="83" s="1"/>
  <c r="BK40" i="83"/>
  <c r="BK38" i="83"/>
  <c r="BK44" i="83"/>
  <c r="BK62" i="83" s="1"/>
  <c r="BK43" i="83"/>
  <c r="BK59" i="83" s="1"/>
  <c r="BK39" i="83"/>
  <c r="BK37" i="83"/>
  <c r="BK42" i="83"/>
  <c r="BK58" i="83" s="1"/>
  <c r="BK36" i="83"/>
  <c r="BK34" i="83"/>
  <c r="BK33" i="83"/>
  <c r="BK35" i="83"/>
  <c r="BK27" i="83"/>
  <c r="BK55" i="83" s="1"/>
  <c r="AU45" i="83"/>
  <c r="AU61" i="83" s="1"/>
  <c r="AU40" i="83"/>
  <c r="AU38" i="83"/>
  <c r="AU44" i="83"/>
  <c r="AU62" i="83" s="1"/>
  <c r="AU43" i="83"/>
  <c r="AU59" i="83" s="1"/>
  <c r="AU39" i="83"/>
  <c r="AU37" i="83"/>
  <c r="AU42" i="83"/>
  <c r="AU58" i="83" s="1"/>
  <c r="AU36" i="83"/>
  <c r="AU34" i="83"/>
  <c r="AU33" i="83"/>
  <c r="AU35" i="83"/>
  <c r="AU27" i="83"/>
  <c r="AE45" i="83"/>
  <c r="AE61" i="83" s="1"/>
  <c r="AE40" i="83"/>
  <c r="AE38" i="83"/>
  <c r="AE44" i="83"/>
  <c r="AE62" i="83" s="1"/>
  <c r="AE43" i="83"/>
  <c r="AE59" i="83" s="1"/>
  <c r="AE39" i="83"/>
  <c r="AE37" i="83"/>
  <c r="AE42" i="83"/>
  <c r="AE58" i="83" s="1"/>
  <c r="AE36" i="83"/>
  <c r="AE34" i="83"/>
  <c r="AE33" i="83"/>
  <c r="AE35" i="83"/>
  <c r="AE27" i="83"/>
  <c r="AE55" i="83" s="1"/>
  <c r="O40" i="83"/>
  <c r="O38" i="83"/>
  <c r="O45" i="83"/>
  <c r="O61" i="83" s="1"/>
  <c r="O44" i="83"/>
  <c r="O62" i="83" s="1"/>
  <c r="O43" i="83"/>
  <c r="O59" i="83" s="1"/>
  <c r="O39" i="83"/>
  <c r="O42" i="83"/>
  <c r="O58" i="83" s="1"/>
  <c r="O36" i="83"/>
  <c r="O34" i="83"/>
  <c r="O37" i="83"/>
  <c r="O35" i="83"/>
  <c r="CI51" i="83"/>
  <c r="CI53" i="83" s="1"/>
  <c r="CI50" i="83"/>
  <c r="CI52" i="83" s="1"/>
  <c r="BS51" i="83"/>
  <c r="BS53" i="83" s="1"/>
  <c r="BS50" i="83"/>
  <c r="BS52" i="83" s="1"/>
  <c r="BC51" i="83"/>
  <c r="BC53" i="83" s="1"/>
  <c r="BC50" i="83"/>
  <c r="BC52" i="83" s="1"/>
  <c r="AU51" i="83"/>
  <c r="AU53" i="83" s="1"/>
  <c r="AU50" i="83"/>
  <c r="AU52" i="83" s="1"/>
  <c r="AM51" i="83"/>
  <c r="AM53" i="83" s="1"/>
  <c r="AM50" i="83"/>
  <c r="AM52" i="83" s="1"/>
  <c r="AE51" i="83"/>
  <c r="AE53" i="83" s="1"/>
  <c r="AE50" i="83"/>
  <c r="AE52" i="83" s="1"/>
  <c r="W51" i="83"/>
  <c r="W53" i="83" s="1"/>
  <c r="W50" i="83"/>
  <c r="W52" i="83" s="1"/>
  <c r="G51" i="83"/>
  <c r="G50" i="83"/>
  <c r="CM46" i="83"/>
  <c r="AO64" i="83"/>
  <c r="Y64" i="83"/>
  <c r="I64" i="83"/>
  <c r="BZ45" i="83"/>
  <c r="BZ61" i="83" s="1"/>
  <c r="BZ42" i="83"/>
  <c r="BZ58" i="83" s="1"/>
  <c r="BZ40" i="83"/>
  <c r="BZ38" i="83"/>
  <c r="BZ44" i="83"/>
  <c r="BZ62" i="83" s="1"/>
  <c r="BZ43" i="83"/>
  <c r="BZ59" i="83" s="1"/>
  <c r="BZ39" i="83"/>
  <c r="BZ37" i="83"/>
  <c r="BZ36" i="83"/>
  <c r="BZ34" i="83"/>
  <c r="BZ33" i="83"/>
  <c r="BZ35" i="83"/>
  <c r="BZ27" i="83"/>
  <c r="BJ45" i="83"/>
  <c r="BJ61" i="83" s="1"/>
  <c r="BJ42" i="83"/>
  <c r="BJ58" i="83" s="1"/>
  <c r="BJ40" i="83"/>
  <c r="BJ38" i="83"/>
  <c r="BJ44" i="83"/>
  <c r="BJ62" i="83" s="1"/>
  <c r="BJ43" i="83"/>
  <c r="BJ59" i="83" s="1"/>
  <c r="BJ39" i="83"/>
  <c r="BJ37" i="83"/>
  <c r="BJ36" i="83"/>
  <c r="BJ34" i="83"/>
  <c r="BJ33" i="83"/>
  <c r="BJ35" i="83"/>
  <c r="BJ27" i="83"/>
  <c r="BJ55" i="83" s="1"/>
  <c r="AT45" i="83"/>
  <c r="AT61" i="83" s="1"/>
  <c r="AT42" i="83"/>
  <c r="AT58" i="83" s="1"/>
  <c r="AT40" i="83"/>
  <c r="AT38" i="83"/>
  <c r="AT44" i="83"/>
  <c r="AT62" i="83" s="1"/>
  <c r="AT43" i="83"/>
  <c r="AT59" i="83" s="1"/>
  <c r="AT39" i="83"/>
  <c r="AT37" i="83"/>
  <c r="AT36" i="83"/>
  <c r="AT34" i="83"/>
  <c r="AT33" i="83"/>
  <c r="AT35" i="83"/>
  <c r="AT27" i="83"/>
  <c r="AD45" i="83"/>
  <c r="AD61" i="83" s="1"/>
  <c r="AD42" i="83"/>
  <c r="AD58" i="83" s="1"/>
  <c r="AD40" i="83"/>
  <c r="AD38" i="83"/>
  <c r="AD44" i="83"/>
  <c r="AD62" i="83" s="1"/>
  <c r="AD43" i="83"/>
  <c r="AD59" i="83" s="1"/>
  <c r="AD39" i="83"/>
  <c r="AD37" i="83"/>
  <c r="AD36" i="83"/>
  <c r="AD34" i="83"/>
  <c r="AD33" i="83"/>
  <c r="AD35" i="83"/>
  <c r="AD27" i="83"/>
  <c r="AD55" i="83" s="1"/>
  <c r="N45" i="83"/>
  <c r="N61" i="83" s="1"/>
  <c r="N42" i="83"/>
  <c r="N58" i="83" s="1"/>
  <c r="N40" i="83"/>
  <c r="N38" i="83"/>
  <c r="N44" i="83"/>
  <c r="N62" i="83" s="1"/>
  <c r="N43" i="83"/>
  <c r="N59" i="83" s="1"/>
  <c r="N39" i="83"/>
  <c r="N37" i="83"/>
  <c r="N36" i="83"/>
  <c r="N34" i="83"/>
  <c r="N35" i="83"/>
  <c r="CL51" i="83"/>
  <c r="CL53" i="83" s="1"/>
  <c r="CL50" i="83"/>
  <c r="CL52" i="83" s="1"/>
  <c r="CD51" i="83"/>
  <c r="CD53" i="83" s="1"/>
  <c r="CD50" i="83"/>
  <c r="CD52" i="83" s="1"/>
  <c r="BV51" i="83"/>
  <c r="BV53" i="83" s="1"/>
  <c r="BV50" i="83"/>
  <c r="BV52" i="83" s="1"/>
  <c r="BN51" i="83"/>
  <c r="BN53" i="83" s="1"/>
  <c r="BN50" i="83"/>
  <c r="BN52" i="83" s="1"/>
  <c r="BF51" i="83"/>
  <c r="BF53" i="83" s="1"/>
  <c r="BF50" i="83"/>
  <c r="BF52" i="83" s="1"/>
  <c r="AX51" i="83"/>
  <c r="AX53" i="83" s="1"/>
  <c r="AX50" i="83"/>
  <c r="AX52" i="83" s="1"/>
  <c r="AP51" i="83"/>
  <c r="AP53" i="83" s="1"/>
  <c r="AP50" i="83"/>
  <c r="AP52" i="83" s="1"/>
  <c r="AH51" i="83"/>
  <c r="AH53" i="83" s="1"/>
  <c r="AH50" i="83"/>
  <c r="AH52" i="83" s="1"/>
  <c r="CK64" i="83"/>
  <c r="BY64" i="83"/>
  <c r="CG45" i="83"/>
  <c r="CG61" i="83" s="1"/>
  <c r="CG43" i="83"/>
  <c r="CG59" i="83" s="1"/>
  <c r="CG39" i="83"/>
  <c r="CG37" i="83"/>
  <c r="CG42" i="83"/>
  <c r="CG58" i="83" s="1"/>
  <c r="CG44" i="83"/>
  <c r="CG62" i="83" s="1"/>
  <c r="CG40" i="83"/>
  <c r="CG38" i="83"/>
  <c r="CG35" i="83"/>
  <c r="CG27" i="83"/>
  <c r="CG36" i="83"/>
  <c r="CG34" i="83"/>
  <c r="CG33" i="83"/>
  <c r="CG55" i="83"/>
  <c r="U45" i="83"/>
  <c r="U61" i="83" s="1"/>
  <c r="U43" i="83"/>
  <c r="U59" i="83" s="1"/>
  <c r="U39" i="83"/>
  <c r="U37" i="83"/>
  <c r="U42" i="83"/>
  <c r="U58" i="83" s="1"/>
  <c r="U40" i="83"/>
  <c r="U38" i="83"/>
  <c r="U44" i="83"/>
  <c r="U62" i="83" s="1"/>
  <c r="U35" i="83"/>
  <c r="U36" i="83"/>
  <c r="U34" i="83"/>
  <c r="U33" i="83"/>
  <c r="U27" i="83"/>
  <c r="CC51" i="83"/>
  <c r="CC53" i="83" s="1"/>
  <c r="CC50" i="83"/>
  <c r="CC52" i="83" s="1"/>
  <c r="BM51" i="83"/>
  <c r="BM53" i="83" s="1"/>
  <c r="BM50" i="83"/>
  <c r="BM52" i="83" s="1"/>
  <c r="BA51" i="83"/>
  <c r="BA53" i="83" s="1"/>
  <c r="BA50" i="83"/>
  <c r="BA52" i="83" s="1"/>
  <c r="AS51" i="83"/>
  <c r="AS53" i="83" s="1"/>
  <c r="AS50" i="83"/>
  <c r="AS52" i="83" s="1"/>
  <c r="AK51" i="83"/>
  <c r="AK53" i="83" s="1"/>
  <c r="AK50" i="83"/>
  <c r="AK52" i="83" s="1"/>
  <c r="AC51" i="83"/>
  <c r="AC53" i="83" s="1"/>
  <c r="AC50" i="83"/>
  <c r="AC52" i="83" s="1"/>
  <c r="U51" i="83"/>
  <c r="U53" i="83" s="1"/>
  <c r="U50" i="83"/>
  <c r="U52" i="83" s="1"/>
  <c r="G64" i="83"/>
  <c r="BX45" i="83"/>
  <c r="BX61" i="83" s="1"/>
  <c r="BX44" i="83"/>
  <c r="BX62" i="83" s="1"/>
  <c r="BX43" i="83"/>
  <c r="BX59" i="83" s="1"/>
  <c r="BX39" i="83"/>
  <c r="BX37" i="83"/>
  <c r="BX42" i="83"/>
  <c r="BX58" i="83" s="1"/>
  <c r="BX40" i="83"/>
  <c r="BX38" i="83"/>
  <c r="BX33" i="83"/>
  <c r="BX35" i="83"/>
  <c r="BX36" i="83"/>
  <c r="BX34" i="83"/>
  <c r="BX27" i="83"/>
  <c r="BH45" i="83"/>
  <c r="BH61" i="83" s="1"/>
  <c r="BH44" i="83"/>
  <c r="BH62" i="83" s="1"/>
  <c r="BH43" i="83"/>
  <c r="BH59" i="83" s="1"/>
  <c r="BH39" i="83"/>
  <c r="BH37" i="83"/>
  <c r="BH42" i="83"/>
  <c r="BH58" i="83" s="1"/>
  <c r="BH40" i="83"/>
  <c r="BH38" i="83"/>
  <c r="BH33" i="83"/>
  <c r="BH35" i="83"/>
  <c r="BH36" i="83"/>
  <c r="BH34" i="83"/>
  <c r="BH27" i="83"/>
  <c r="AR45" i="83"/>
  <c r="AR61" i="83" s="1"/>
  <c r="AR44" i="83"/>
  <c r="AR62" i="83" s="1"/>
  <c r="AR43" i="83"/>
  <c r="AR59" i="83" s="1"/>
  <c r="AR39" i="83"/>
  <c r="AR37" i="83"/>
  <c r="AR42" i="83"/>
  <c r="AR58" i="83" s="1"/>
  <c r="AR40" i="83"/>
  <c r="AR38" i="83"/>
  <c r="AR33" i="83"/>
  <c r="AR35" i="83"/>
  <c r="AR36" i="83"/>
  <c r="AR34" i="83"/>
  <c r="AR27" i="83"/>
  <c r="AB45" i="83"/>
  <c r="AB61" i="83" s="1"/>
  <c r="AB44" i="83"/>
  <c r="AB62" i="83" s="1"/>
  <c r="AB43" i="83"/>
  <c r="AB59" i="83" s="1"/>
  <c r="AB39" i="83"/>
  <c r="AB37" i="83"/>
  <c r="AB42" i="83"/>
  <c r="AB58" i="83" s="1"/>
  <c r="AB40" i="83"/>
  <c r="AB38" i="83"/>
  <c r="AB33" i="83"/>
  <c r="AB35" i="83"/>
  <c r="AB36" i="83"/>
  <c r="AB34" i="83"/>
  <c r="AB27" i="83"/>
  <c r="L45" i="83"/>
  <c r="L61" i="83" s="1"/>
  <c r="L44" i="83"/>
  <c r="L62" i="83" s="1"/>
  <c r="L43" i="83"/>
  <c r="L59" i="83" s="1"/>
  <c r="L39" i="83"/>
  <c r="L42" i="83"/>
  <c r="L58" i="83" s="1"/>
  <c r="L40" i="83"/>
  <c r="L38" i="83"/>
  <c r="L35" i="83"/>
  <c r="L37" i="83"/>
  <c r="L36" i="83"/>
  <c r="L34" i="83"/>
  <c r="CJ50" i="83"/>
  <c r="CJ52" i="83" s="1"/>
  <c r="CJ51" i="83"/>
  <c r="CJ53" i="83" s="1"/>
  <c r="CB50" i="83"/>
  <c r="CB52" i="83" s="1"/>
  <c r="CB51" i="83"/>
  <c r="CB53" i="83" s="1"/>
  <c r="BT50" i="83"/>
  <c r="BT52" i="83" s="1"/>
  <c r="BT51" i="83"/>
  <c r="BT53" i="83" s="1"/>
  <c r="BL50" i="83"/>
  <c r="BL52" i="83" s="1"/>
  <c r="BL51" i="83"/>
  <c r="BL53" i="83" s="1"/>
  <c r="BD50" i="83"/>
  <c r="BD52" i="83" s="1"/>
  <c r="BD51" i="83"/>
  <c r="BD53" i="83" s="1"/>
  <c r="AR50" i="83"/>
  <c r="AR52" i="83" s="1"/>
  <c r="AR51" i="83"/>
  <c r="AR53" i="83" s="1"/>
  <c r="AB50" i="83"/>
  <c r="AB52" i="83" s="1"/>
  <c r="AB51" i="83"/>
  <c r="AB53" i="83" s="1"/>
  <c r="BW45" i="83"/>
  <c r="BW61" i="83" s="1"/>
  <c r="BW40" i="83"/>
  <c r="BW38" i="83"/>
  <c r="BW44" i="83"/>
  <c r="BW62" i="83" s="1"/>
  <c r="BW43" i="83"/>
  <c r="BW59" i="83" s="1"/>
  <c r="BW39" i="83"/>
  <c r="BW37" i="83"/>
  <c r="BW42" i="83"/>
  <c r="BW58" i="83" s="1"/>
  <c r="BW36" i="83"/>
  <c r="BW34" i="83"/>
  <c r="BW33" i="83"/>
  <c r="BW35" i="83"/>
  <c r="BW27" i="83"/>
  <c r="BG45" i="83"/>
  <c r="BG61" i="83" s="1"/>
  <c r="BG40" i="83"/>
  <c r="BG38" i="83"/>
  <c r="BG44" i="83"/>
  <c r="BG62" i="83" s="1"/>
  <c r="BG43" i="83"/>
  <c r="BG59" i="83" s="1"/>
  <c r="BG39" i="83"/>
  <c r="BG37" i="83"/>
  <c r="BG42" i="83"/>
  <c r="BG58" i="83" s="1"/>
  <c r="BG36" i="83"/>
  <c r="BG34" i="83"/>
  <c r="BG33" i="83"/>
  <c r="BG35" i="83"/>
  <c r="BG27" i="83"/>
  <c r="AQ45" i="83"/>
  <c r="AQ61" i="83" s="1"/>
  <c r="AQ40" i="83"/>
  <c r="AQ38" i="83"/>
  <c r="AQ44" i="83"/>
  <c r="AQ62" i="83" s="1"/>
  <c r="AQ43" i="83"/>
  <c r="AQ59" i="83" s="1"/>
  <c r="AQ39" i="83"/>
  <c r="AQ37" i="83"/>
  <c r="AQ42" i="83"/>
  <c r="AQ58" i="83" s="1"/>
  <c r="AQ36" i="83"/>
  <c r="AQ34" i="83"/>
  <c r="AQ33" i="83"/>
  <c r="AQ35" i="83"/>
  <c r="AQ27" i="83"/>
  <c r="AA45" i="83"/>
  <c r="AA61" i="83" s="1"/>
  <c r="AA40" i="83"/>
  <c r="AA38" i="83"/>
  <c r="AA44" i="83"/>
  <c r="AA62" i="83" s="1"/>
  <c r="AA43" i="83"/>
  <c r="AA59" i="83" s="1"/>
  <c r="AA39" i="83"/>
  <c r="AA37" i="83"/>
  <c r="AA42" i="83"/>
  <c r="AA58" i="83" s="1"/>
  <c r="AA36" i="83"/>
  <c r="AA34" i="83"/>
  <c r="AA33" i="83"/>
  <c r="AA35" i="83"/>
  <c r="AA27" i="83"/>
  <c r="K40" i="83"/>
  <c r="K38" i="83"/>
  <c r="K44" i="83"/>
  <c r="K62" i="83" s="1"/>
  <c r="K45" i="83"/>
  <c r="K61" i="83" s="1"/>
  <c r="K43" i="83"/>
  <c r="K59" i="83" s="1"/>
  <c r="K39" i="83"/>
  <c r="K42" i="83"/>
  <c r="K58" i="83" s="1"/>
  <c r="K36" i="83"/>
  <c r="K34" i="83"/>
  <c r="K35" i="83"/>
  <c r="K37" i="83"/>
  <c r="BW51" i="83"/>
  <c r="BW53" i="83" s="1"/>
  <c r="BW50" i="83"/>
  <c r="BW52" i="83" s="1"/>
  <c r="BG51" i="83"/>
  <c r="BG53" i="83" s="1"/>
  <c r="BG50" i="83"/>
  <c r="BG52" i="83" s="1"/>
  <c r="S51" i="83"/>
  <c r="S53" i="83" s="1"/>
  <c r="S50" i="83"/>
  <c r="S52" i="83" s="1"/>
  <c r="BA64" i="83"/>
  <c r="AK64" i="83"/>
  <c r="U64" i="83"/>
  <c r="CL44" i="83"/>
  <c r="CL62" i="83" s="1"/>
  <c r="CL45" i="83"/>
  <c r="CL61" i="83" s="1"/>
  <c r="CL42" i="83"/>
  <c r="CL58" i="83" s="1"/>
  <c r="CL40" i="83"/>
  <c r="CL38" i="83"/>
  <c r="CL43" i="83"/>
  <c r="CL59" i="83" s="1"/>
  <c r="CL39" i="83"/>
  <c r="CL37" i="83"/>
  <c r="CL36" i="83"/>
  <c r="CL34" i="83"/>
  <c r="CL33" i="83"/>
  <c r="CL35" i="83"/>
  <c r="CL27" i="83"/>
  <c r="CL55" i="83" s="1"/>
  <c r="BV45" i="83"/>
  <c r="BV61" i="83" s="1"/>
  <c r="BV42" i="83"/>
  <c r="BV58" i="83" s="1"/>
  <c r="BV40" i="83"/>
  <c r="BV38" i="83"/>
  <c r="BV44" i="83"/>
  <c r="BV62" i="83" s="1"/>
  <c r="BV43" i="83"/>
  <c r="BV59" i="83" s="1"/>
  <c r="BV39" i="83"/>
  <c r="BV37" i="83"/>
  <c r="BV36" i="83"/>
  <c r="BV34" i="83"/>
  <c r="BV33" i="83"/>
  <c r="BV35" i="83"/>
  <c r="BV27" i="83"/>
  <c r="BV55" i="83" s="1"/>
  <c r="BF45" i="83"/>
  <c r="BF61" i="83" s="1"/>
  <c r="BF42" i="83"/>
  <c r="BF58" i="83" s="1"/>
  <c r="BF40" i="83"/>
  <c r="BF38" i="83"/>
  <c r="BF44" i="83"/>
  <c r="BF62" i="83" s="1"/>
  <c r="BF43" i="83"/>
  <c r="BF59" i="83" s="1"/>
  <c r="BF39" i="83"/>
  <c r="BF37" i="83"/>
  <c r="BF36" i="83"/>
  <c r="BF34" i="83"/>
  <c r="BF33" i="83"/>
  <c r="BF35" i="83"/>
  <c r="BF27" i="83"/>
  <c r="BF55" i="83" s="1"/>
  <c r="AP45" i="83"/>
  <c r="AP61" i="83" s="1"/>
  <c r="AP42" i="83"/>
  <c r="AP58" i="83" s="1"/>
  <c r="AP40" i="83"/>
  <c r="AP38" i="83"/>
  <c r="AP44" i="83"/>
  <c r="AP62" i="83" s="1"/>
  <c r="AP43" i="83"/>
  <c r="AP59" i="83" s="1"/>
  <c r="AP39" i="83"/>
  <c r="AP37" i="83"/>
  <c r="AP36" i="83"/>
  <c r="AP34" i="83"/>
  <c r="AP33" i="83"/>
  <c r="AP35" i="83"/>
  <c r="AP27" i="83"/>
  <c r="AP55" i="83" s="1"/>
  <c r="Z45" i="83"/>
  <c r="Z61" i="83" s="1"/>
  <c r="Z42" i="83"/>
  <c r="Z58" i="83" s="1"/>
  <c r="Z40" i="83"/>
  <c r="Z38" i="83"/>
  <c r="Z44" i="83"/>
  <c r="Z62" i="83" s="1"/>
  <c r="Z43" i="83"/>
  <c r="Z59" i="83" s="1"/>
  <c r="Z39" i="83"/>
  <c r="Z37" i="83"/>
  <c r="Z36" i="83"/>
  <c r="Z34" i="83"/>
  <c r="Z33" i="83"/>
  <c r="Z35" i="83"/>
  <c r="Z27" i="83"/>
  <c r="Z55" i="83" s="1"/>
  <c r="J45" i="83"/>
  <c r="J61" i="83" s="1"/>
  <c r="J42" i="83"/>
  <c r="J58" i="83" s="1"/>
  <c r="J40" i="83"/>
  <c r="J38" i="83"/>
  <c r="J44" i="83"/>
  <c r="J62" i="83" s="1"/>
  <c r="J43" i="83"/>
  <c r="J59" i="83" s="1"/>
  <c r="J39" i="83"/>
  <c r="J37" i="83"/>
  <c r="J36" i="83"/>
  <c r="J34" i="83"/>
  <c r="J35" i="83"/>
  <c r="AD51" i="83"/>
  <c r="AD53" i="83" s="1"/>
  <c r="AD50" i="83"/>
  <c r="AD52" i="83" s="1"/>
  <c r="CC64" i="83"/>
  <c r="BU64" i="83"/>
  <c r="BQ45" i="83"/>
  <c r="BQ61" i="83" s="1"/>
  <c r="BQ43" i="83"/>
  <c r="BQ59" i="83" s="1"/>
  <c r="BQ39" i="83"/>
  <c r="BQ37" i="83"/>
  <c r="BQ42" i="83"/>
  <c r="BQ58" i="83" s="1"/>
  <c r="BQ40" i="83"/>
  <c r="BQ38" i="83"/>
  <c r="BQ44" i="83"/>
  <c r="BQ62" i="83" s="1"/>
  <c r="BQ35" i="83"/>
  <c r="BQ36" i="83"/>
  <c r="BQ34" i="83"/>
  <c r="BQ33" i="83"/>
  <c r="BQ27" i="83"/>
  <c r="BM45" i="83"/>
  <c r="BM61" i="83" s="1"/>
  <c r="BM43" i="83"/>
  <c r="BM59" i="83" s="1"/>
  <c r="BM39" i="83"/>
  <c r="BM37" i="83"/>
  <c r="BM42" i="83"/>
  <c r="BM58" i="83" s="1"/>
  <c r="BM40" i="83"/>
  <c r="BM38" i="83"/>
  <c r="BM44" i="83"/>
  <c r="BM62" i="83" s="1"/>
  <c r="BM35" i="83"/>
  <c r="BM36" i="83"/>
  <c r="BM34" i="83"/>
  <c r="BM33" i="83"/>
  <c r="BM27" i="83"/>
  <c r="BM55" i="83" s="1"/>
  <c r="Q45" i="83"/>
  <c r="Q61" i="83" s="1"/>
  <c r="Q43" i="83"/>
  <c r="Q59" i="83" s="1"/>
  <c r="Q39" i="83"/>
  <c r="Q37" i="83"/>
  <c r="Q42" i="83"/>
  <c r="Q58" i="83" s="1"/>
  <c r="Q40" i="83"/>
  <c r="Q38" i="83"/>
  <c r="Q44" i="83"/>
  <c r="Q62" i="83" s="1"/>
  <c r="Q35" i="83"/>
  <c r="Q36" i="83"/>
  <c r="Q34" i="83"/>
  <c r="CG51" i="83"/>
  <c r="CG53" i="83" s="1"/>
  <c r="CG50" i="83"/>
  <c r="CG52" i="83" s="1"/>
  <c r="BQ51" i="83"/>
  <c r="BQ53" i="83" s="1"/>
  <c r="BQ50" i="83"/>
  <c r="BQ52" i="83" s="1"/>
  <c r="Q51" i="83"/>
  <c r="Q53" i="83" s="1"/>
  <c r="Q50" i="83"/>
  <c r="Q52" i="83" s="1"/>
  <c r="CJ45" i="83"/>
  <c r="CJ61" i="83" s="1"/>
  <c r="CJ44" i="83"/>
  <c r="CJ62" i="83" s="1"/>
  <c r="CJ43" i="83"/>
  <c r="CJ59" i="83" s="1"/>
  <c r="CJ39" i="83"/>
  <c r="CJ37" i="83"/>
  <c r="CJ42" i="83"/>
  <c r="CJ58" i="83" s="1"/>
  <c r="CJ40" i="83"/>
  <c r="CJ38" i="83"/>
  <c r="CJ33" i="83"/>
  <c r="CJ35" i="83"/>
  <c r="CJ36" i="83"/>
  <c r="CJ34" i="83"/>
  <c r="CJ27" i="83"/>
  <c r="CJ55" i="83" s="1"/>
  <c r="BT45" i="83"/>
  <c r="BT61" i="83" s="1"/>
  <c r="BT44" i="83"/>
  <c r="BT62" i="83" s="1"/>
  <c r="BT43" i="83"/>
  <c r="BT59" i="83" s="1"/>
  <c r="BT39" i="83"/>
  <c r="BT37" i="83"/>
  <c r="BT42" i="83"/>
  <c r="BT58" i="83" s="1"/>
  <c r="BT40" i="83"/>
  <c r="BT38" i="83"/>
  <c r="BT33" i="83"/>
  <c r="BT35" i="83"/>
  <c r="BT36" i="83"/>
  <c r="BT34" i="83"/>
  <c r="BT27" i="83"/>
  <c r="BT55" i="83" s="1"/>
  <c r="BD45" i="83"/>
  <c r="BD61" i="83" s="1"/>
  <c r="BD44" i="83"/>
  <c r="BD62" i="83" s="1"/>
  <c r="BD43" i="83"/>
  <c r="BD59" i="83" s="1"/>
  <c r="BD39" i="83"/>
  <c r="BD37" i="83"/>
  <c r="BD42" i="83"/>
  <c r="BD58" i="83" s="1"/>
  <c r="BD40" i="83"/>
  <c r="BD38" i="83"/>
  <c r="BD33" i="83"/>
  <c r="BD35" i="83"/>
  <c r="BD36" i="83"/>
  <c r="BD34" i="83"/>
  <c r="BD27" i="83"/>
  <c r="BD55" i="83" s="1"/>
  <c r="AN45" i="83"/>
  <c r="AN61" i="83" s="1"/>
  <c r="AN44" i="83"/>
  <c r="AN62" i="83" s="1"/>
  <c r="AN43" i="83"/>
  <c r="AN59" i="83" s="1"/>
  <c r="AN39" i="83"/>
  <c r="AN37" i="83"/>
  <c r="AN42" i="83"/>
  <c r="AN58" i="83" s="1"/>
  <c r="AN40" i="83"/>
  <c r="AN38" i="83"/>
  <c r="AN33" i="83"/>
  <c r="AN35" i="83"/>
  <c r="AN36" i="83"/>
  <c r="AN34" i="83"/>
  <c r="AN27" i="83"/>
  <c r="AN55" i="83" s="1"/>
  <c r="X45" i="83"/>
  <c r="X61" i="83" s="1"/>
  <c r="X44" i="83"/>
  <c r="X62" i="83" s="1"/>
  <c r="X43" i="83"/>
  <c r="X59" i="83" s="1"/>
  <c r="X39" i="83"/>
  <c r="X37" i="83"/>
  <c r="X42" i="83"/>
  <c r="X58" i="83" s="1"/>
  <c r="X40" i="83"/>
  <c r="X38" i="83"/>
  <c r="X33" i="83"/>
  <c r="X35" i="83"/>
  <c r="X36" i="83"/>
  <c r="X34" i="83"/>
  <c r="X27" i="83"/>
  <c r="X55" i="83" s="1"/>
  <c r="H45" i="83"/>
  <c r="H61" i="83" s="1"/>
  <c r="H44" i="83"/>
  <c r="H62" i="83" s="1"/>
  <c r="H43" i="83"/>
  <c r="H59" i="83" s="1"/>
  <c r="H39" i="83"/>
  <c r="H42" i="83"/>
  <c r="H58" i="83" s="1"/>
  <c r="H40" i="83"/>
  <c r="H38" i="83"/>
  <c r="H37" i="83"/>
  <c r="H35" i="83"/>
  <c r="H36" i="83"/>
  <c r="H34" i="83"/>
  <c r="H55" i="83"/>
  <c r="AN50" i="83"/>
  <c r="AN52" i="83" s="1"/>
  <c r="AN51" i="83"/>
  <c r="AN53" i="83" s="1"/>
  <c r="X50" i="83"/>
  <c r="X52" i="83" s="1"/>
  <c r="X51" i="83"/>
  <c r="X53" i="83" s="1"/>
  <c r="CI45" i="83"/>
  <c r="CI61" i="83" s="1"/>
  <c r="CI44" i="83"/>
  <c r="CI62" i="83" s="1"/>
  <c r="CI40" i="83"/>
  <c r="CI38" i="83"/>
  <c r="CI43" i="83"/>
  <c r="CI59" i="83" s="1"/>
  <c r="CI39" i="83"/>
  <c r="CI37" i="83"/>
  <c r="CI42" i="83"/>
  <c r="CI58" i="83" s="1"/>
  <c r="CI36" i="83"/>
  <c r="CI34" i="83"/>
  <c r="CI33" i="83"/>
  <c r="CI35" i="83"/>
  <c r="CI27" i="83"/>
  <c r="BS45" i="83"/>
  <c r="BS61" i="83" s="1"/>
  <c r="BS40" i="83"/>
  <c r="BS38" i="83"/>
  <c r="BS44" i="83"/>
  <c r="BS62" i="83" s="1"/>
  <c r="BS43" i="83"/>
  <c r="BS59" i="83" s="1"/>
  <c r="BS39" i="83"/>
  <c r="BS37" i="83"/>
  <c r="BS42" i="83"/>
  <c r="BS58" i="83" s="1"/>
  <c r="BS36" i="83"/>
  <c r="BS34" i="83"/>
  <c r="BS33" i="83"/>
  <c r="BS35" i="83"/>
  <c r="BS27" i="83"/>
  <c r="BC45" i="83"/>
  <c r="BC61" i="83" s="1"/>
  <c r="BC40" i="83"/>
  <c r="BC38" i="83"/>
  <c r="BC44" i="83"/>
  <c r="BC62" i="83" s="1"/>
  <c r="BC43" i="83"/>
  <c r="BC59" i="83" s="1"/>
  <c r="BC39" i="83"/>
  <c r="BC37" i="83"/>
  <c r="BC42" i="83"/>
  <c r="BC58" i="83" s="1"/>
  <c r="BC36" i="83"/>
  <c r="BC34" i="83"/>
  <c r="BC33" i="83"/>
  <c r="BC35" i="83"/>
  <c r="BC27" i="83"/>
  <c r="AM45" i="83"/>
  <c r="AM61" i="83" s="1"/>
  <c r="AM40" i="83"/>
  <c r="AM38" i="83"/>
  <c r="AM44" i="83"/>
  <c r="AM62" i="83" s="1"/>
  <c r="AM43" i="83"/>
  <c r="AM59" i="83" s="1"/>
  <c r="AM39" i="83"/>
  <c r="AM37" i="83"/>
  <c r="AM42" i="83"/>
  <c r="AM58" i="83" s="1"/>
  <c r="AM36" i="83"/>
  <c r="AM34" i="83"/>
  <c r="AM33" i="83"/>
  <c r="AM35" i="83"/>
  <c r="AM27" i="83"/>
  <c r="W45" i="83"/>
  <c r="W61" i="83" s="1"/>
  <c r="W40" i="83"/>
  <c r="W38" i="83"/>
  <c r="W44" i="83"/>
  <c r="W62" i="83" s="1"/>
  <c r="W43" i="83"/>
  <c r="W59" i="83" s="1"/>
  <c r="W39" i="83"/>
  <c r="W42" i="83"/>
  <c r="W58" i="83" s="1"/>
  <c r="W36" i="83"/>
  <c r="W34" i="83"/>
  <c r="W37" i="83"/>
  <c r="W33" i="83"/>
  <c r="W35" i="83"/>
  <c r="W27" i="83"/>
  <c r="G40" i="83"/>
  <c r="G38" i="83"/>
  <c r="G44" i="83"/>
  <c r="G43" i="83"/>
  <c r="G39" i="83"/>
  <c r="G45" i="83"/>
  <c r="G42" i="83"/>
  <c r="G36" i="83"/>
  <c r="G34" i="83"/>
  <c r="G37" i="83"/>
  <c r="G35" i="83"/>
  <c r="CM23" i="83"/>
  <c r="CA51" i="83"/>
  <c r="CA53" i="83" s="1"/>
  <c r="CA50" i="83"/>
  <c r="CA52" i="83" s="1"/>
  <c r="BK51" i="83"/>
  <c r="BK53" i="83" s="1"/>
  <c r="BK50" i="83"/>
  <c r="BK52" i="83" s="1"/>
  <c r="AY51" i="83"/>
  <c r="AY53" i="83" s="1"/>
  <c r="AY50" i="83"/>
  <c r="AY52" i="83" s="1"/>
  <c r="AQ51" i="83"/>
  <c r="AQ53" i="83" s="1"/>
  <c r="AQ50" i="83"/>
  <c r="AQ52" i="83" s="1"/>
  <c r="AI51" i="83"/>
  <c r="AI53" i="83" s="1"/>
  <c r="AI50" i="83"/>
  <c r="AI52" i="83" s="1"/>
  <c r="AA51" i="83"/>
  <c r="AA53" i="83" s="1"/>
  <c r="AA50" i="83"/>
  <c r="AA52" i="83" s="1"/>
  <c r="O51" i="83"/>
  <c r="O53" i="83" s="1"/>
  <c r="O50" i="83"/>
  <c r="O52" i="83" s="1"/>
  <c r="AW64" i="83"/>
  <c r="AG64" i="83"/>
  <c r="Q64" i="83"/>
  <c r="CH44" i="83"/>
  <c r="CH62" i="83" s="1"/>
  <c r="CH45" i="83"/>
  <c r="CH61" i="83" s="1"/>
  <c r="CH42" i="83"/>
  <c r="CH58" i="83" s="1"/>
  <c r="CH40" i="83"/>
  <c r="CH38" i="83"/>
  <c r="CH43" i="83"/>
  <c r="CH59" i="83" s="1"/>
  <c r="CH39" i="83"/>
  <c r="CH37" i="83"/>
  <c r="CH36" i="83"/>
  <c r="CH34" i="83"/>
  <c r="CH33" i="83"/>
  <c r="CH35" i="83"/>
  <c r="CH27" i="83"/>
  <c r="BR45" i="83"/>
  <c r="BR61" i="83" s="1"/>
  <c r="BR42" i="83"/>
  <c r="BR58" i="83" s="1"/>
  <c r="BR40" i="83"/>
  <c r="BR38" i="83"/>
  <c r="BR44" i="83"/>
  <c r="BR62" i="83" s="1"/>
  <c r="BR43" i="83"/>
  <c r="BR59" i="83" s="1"/>
  <c r="BR39" i="83"/>
  <c r="BR37" i="83"/>
  <c r="BR36" i="83"/>
  <c r="BR34" i="83"/>
  <c r="BR33" i="83"/>
  <c r="BR35" i="83"/>
  <c r="BR27" i="83"/>
  <c r="BB45" i="83"/>
  <c r="BB61" i="83" s="1"/>
  <c r="BB42" i="83"/>
  <c r="BB58" i="83" s="1"/>
  <c r="BB40" i="83"/>
  <c r="BB38" i="83"/>
  <c r="BB44" i="83"/>
  <c r="BB62" i="83" s="1"/>
  <c r="BB43" i="83"/>
  <c r="BB59" i="83" s="1"/>
  <c r="BB39" i="83"/>
  <c r="BB37" i="83"/>
  <c r="BB36" i="83"/>
  <c r="BB34" i="83"/>
  <c r="BB33" i="83"/>
  <c r="BB35" i="83"/>
  <c r="BB27" i="83"/>
  <c r="AL45" i="83"/>
  <c r="AL61" i="83" s="1"/>
  <c r="AL42" i="83"/>
  <c r="AL58" i="83" s="1"/>
  <c r="AL40" i="83"/>
  <c r="AL38" i="83"/>
  <c r="AL44" i="83"/>
  <c r="AL62" i="83" s="1"/>
  <c r="AL43" i="83"/>
  <c r="AL59" i="83" s="1"/>
  <c r="AL39" i="83"/>
  <c r="AL37" i="83"/>
  <c r="AL36" i="83"/>
  <c r="AL34" i="83"/>
  <c r="AL33" i="83"/>
  <c r="AL35" i="83"/>
  <c r="AL27" i="83"/>
  <c r="V45" i="83"/>
  <c r="V61" i="83" s="1"/>
  <c r="V42" i="83"/>
  <c r="V58" i="83" s="1"/>
  <c r="V40" i="83"/>
  <c r="V38" i="83"/>
  <c r="V44" i="83"/>
  <c r="V62" i="83" s="1"/>
  <c r="V43" i="83"/>
  <c r="V59" i="83" s="1"/>
  <c r="V39" i="83"/>
  <c r="V37" i="83"/>
  <c r="V36" i="83"/>
  <c r="V34" i="83"/>
  <c r="V33" i="83"/>
  <c r="V35" i="83"/>
  <c r="V27" i="83"/>
  <c r="CH51" i="83"/>
  <c r="CH53" i="83" s="1"/>
  <c r="CH50" i="83"/>
  <c r="CH52" i="83" s="1"/>
  <c r="BZ51" i="83"/>
  <c r="BZ53" i="83" s="1"/>
  <c r="BZ50" i="83"/>
  <c r="BZ52" i="83" s="1"/>
  <c r="BR51" i="83"/>
  <c r="BR53" i="83" s="1"/>
  <c r="BR50" i="83"/>
  <c r="BR52" i="83" s="1"/>
  <c r="BJ51" i="83"/>
  <c r="BJ53" i="83" s="1"/>
  <c r="BJ50" i="83"/>
  <c r="BJ52" i="83" s="1"/>
  <c r="BB51" i="83"/>
  <c r="BB53" i="83" s="1"/>
  <c r="BB50" i="83"/>
  <c r="BB52" i="83" s="1"/>
  <c r="AT51" i="83"/>
  <c r="AT53" i="83" s="1"/>
  <c r="AT50" i="83"/>
  <c r="AT52" i="83" s="1"/>
  <c r="AL51" i="83"/>
  <c r="AL53" i="83" s="1"/>
  <c r="AL50" i="83"/>
  <c r="AL52" i="83" s="1"/>
  <c r="Z51" i="83"/>
  <c r="Z53" i="83" s="1"/>
  <c r="Z50" i="83"/>
  <c r="Z52" i="83" s="1"/>
  <c r="BQ64" i="83"/>
  <c r="G54" i="83"/>
  <c r="BM64" i="83"/>
  <c r="BZ67" i="88" l="1"/>
  <c r="AP68" i="88"/>
  <c r="BY55" i="88"/>
  <c r="AO55" i="88"/>
  <c r="AB55" i="88"/>
  <c r="CL68" i="88"/>
  <c r="CL69" i="88" s="1"/>
  <c r="BW55" i="88"/>
  <c r="AS55" i="88"/>
  <c r="BV68" i="88"/>
  <c r="BV70" i="88" s="1"/>
  <c r="L41" i="88"/>
  <c r="L62" i="88" s="1"/>
  <c r="AD69" i="88"/>
  <c r="AY55" i="88"/>
  <c r="CE55" i="88"/>
  <c r="CM33" i="88"/>
  <c r="AG55" i="88"/>
  <c r="BM55" i="88"/>
  <c r="AF41" i="88"/>
  <c r="AF62" i="88" s="1"/>
  <c r="BU55" i="88"/>
  <c r="BJ68" i="88"/>
  <c r="BJ69" i="88" s="1"/>
  <c r="BF68" i="88"/>
  <c r="BF69" i="88" s="1"/>
  <c r="AH41" i="88"/>
  <c r="AH62" i="88" s="1"/>
  <c r="CM52" i="88"/>
  <c r="BK55" i="88"/>
  <c r="BN55" i="88"/>
  <c r="AQ41" i="88"/>
  <c r="AQ62" i="88" s="1"/>
  <c r="BW41" i="88"/>
  <c r="BW62" i="88" s="1"/>
  <c r="AJ55" i="88"/>
  <c r="BP55" i="88"/>
  <c r="BL41" i="88"/>
  <c r="BL62" i="88" s="1"/>
  <c r="AX41" i="88"/>
  <c r="AX62" i="88" s="1"/>
  <c r="CH55" i="88"/>
  <c r="H41" i="88"/>
  <c r="H62" i="88" s="1"/>
  <c r="H65" i="88" s="1"/>
  <c r="H67" i="88" s="1"/>
  <c r="H68" i="88" s="1"/>
  <c r="O41" i="88"/>
  <c r="O62" i="88" s="1"/>
  <c r="CA41" i="88"/>
  <c r="CA62" i="88" s="1"/>
  <c r="BE41" i="88"/>
  <c r="BE62" i="88" s="1"/>
  <c r="BE65" i="88" s="1"/>
  <c r="BE67" i="88" s="1"/>
  <c r="Y55" i="88"/>
  <c r="S41" i="88"/>
  <c r="S62" i="88" s="1"/>
  <c r="BO41" i="88"/>
  <c r="BO62" i="88" s="1"/>
  <c r="BO65" i="88" s="1"/>
  <c r="BO67" i="88" s="1"/>
  <c r="BK41" i="88"/>
  <c r="BK62" i="88" s="1"/>
  <c r="BK65" i="88" s="1"/>
  <c r="BK67" i="88" s="1"/>
  <c r="BK68" i="88" s="1"/>
  <c r="BK69" i="88" s="1"/>
  <c r="AM41" i="88"/>
  <c r="AM62" i="88" s="1"/>
  <c r="AM65" i="88" s="1"/>
  <c r="AM67" i="88" s="1"/>
  <c r="BC41" i="88"/>
  <c r="BC62" i="88" s="1"/>
  <c r="BZ68" i="88"/>
  <c r="BZ70" i="88" s="1"/>
  <c r="AX55" i="88"/>
  <c r="V55" i="88"/>
  <c r="BB41" i="88"/>
  <c r="BB62" i="88" s="1"/>
  <c r="AV55" i="88"/>
  <c r="Z68" i="88"/>
  <c r="Z69" i="88" s="1"/>
  <c r="BA55" i="88"/>
  <c r="CF41" i="83"/>
  <c r="CF60" i="83" s="1"/>
  <c r="BV41" i="83"/>
  <c r="BV60" i="83" s="1"/>
  <c r="AP41" i="83"/>
  <c r="AP60" i="83" s="1"/>
  <c r="J41" i="83"/>
  <c r="J60" i="83" s="1"/>
  <c r="CL70" i="88"/>
  <c r="BZ69" i="88"/>
  <c r="J69" i="88"/>
  <c r="J70" i="88"/>
  <c r="AP69" i="88"/>
  <c r="AP70" i="88"/>
  <c r="G64" i="88"/>
  <c r="CM64" i="88" s="1"/>
  <c r="CM44" i="88"/>
  <c r="CA65" i="88"/>
  <c r="CA67" i="88" s="1"/>
  <c r="U41" i="88"/>
  <c r="U62" i="88" s="1"/>
  <c r="U65" i="88" s="1"/>
  <c r="U67" i="88" s="1"/>
  <c r="BA41" i="88"/>
  <c r="BA62" i="88" s="1"/>
  <c r="BA65" i="88" s="1"/>
  <c r="BA67" i="88" s="1"/>
  <c r="BA68" i="88" s="1"/>
  <c r="CG41" i="88"/>
  <c r="CG62" i="88" s="1"/>
  <c r="CG65" i="88" s="1"/>
  <c r="CG67" i="88" s="1"/>
  <c r="Y41" i="88"/>
  <c r="Y62" i="88" s="1"/>
  <c r="AH65" i="88"/>
  <c r="AH67" i="88" s="1"/>
  <c r="AH68" i="88" s="1"/>
  <c r="AH69" i="88" s="1"/>
  <c r="CM50" i="88"/>
  <c r="T41" i="88"/>
  <c r="T62" i="88" s="1"/>
  <c r="T65" i="88" s="1"/>
  <c r="T67" i="88" s="1"/>
  <c r="CM27" i="88"/>
  <c r="AZ41" i="88"/>
  <c r="AZ62" i="88" s="1"/>
  <c r="AZ65" i="88" s="1"/>
  <c r="AZ67" i="88" s="1"/>
  <c r="CF41" i="88"/>
  <c r="CF62" i="88" s="1"/>
  <c r="AC41" i="88"/>
  <c r="AC62" i="88" s="1"/>
  <c r="BI55" i="88"/>
  <c r="BI41" i="88"/>
  <c r="BI62" i="88" s="1"/>
  <c r="BI65" i="88" s="1"/>
  <c r="BI67" i="88" s="1"/>
  <c r="BI68" i="88" s="1"/>
  <c r="CM51" i="88"/>
  <c r="AO41" i="88"/>
  <c r="AO62" i="88" s="1"/>
  <c r="AO65" i="88" s="1"/>
  <c r="AO67" i="88" s="1"/>
  <c r="AO68" i="88" s="1"/>
  <c r="CK55" i="88"/>
  <c r="AX65" i="88"/>
  <c r="AX67" i="88" s="1"/>
  <c r="V41" i="88"/>
  <c r="V62" i="88" s="1"/>
  <c r="V65" i="88" s="1"/>
  <c r="V67" i="88" s="1"/>
  <c r="CM36" i="88"/>
  <c r="CM37" i="88"/>
  <c r="G63" i="88"/>
  <c r="CM63" i="88" s="1"/>
  <c r="CM45" i="88"/>
  <c r="AM55" i="88"/>
  <c r="BS41" i="88"/>
  <c r="BS62" i="88" s="1"/>
  <c r="BS55" i="88"/>
  <c r="T28" i="88"/>
  <c r="CM28" i="88" s="1"/>
  <c r="X41" i="88"/>
  <c r="X62" i="88" s="1"/>
  <c r="X65" i="88" s="1"/>
  <c r="X67" i="88" s="1"/>
  <c r="AN55" i="88"/>
  <c r="BD41" i="88"/>
  <c r="BD62" i="88" s="1"/>
  <c r="BD65" i="88" s="1"/>
  <c r="BD67" i="88" s="1"/>
  <c r="BT55" i="88"/>
  <c r="CJ41" i="88"/>
  <c r="CJ62" i="88" s="1"/>
  <c r="CJ65" i="88" s="1"/>
  <c r="CJ67" i="88" s="1"/>
  <c r="Q41" i="88"/>
  <c r="Q62" i="88" s="1"/>
  <c r="Q65" i="88" s="1"/>
  <c r="Q67" i="88" s="1"/>
  <c r="Q68" i="88" s="1"/>
  <c r="AW41" i="88"/>
  <c r="AW62" i="88" s="1"/>
  <c r="AW65" i="88" s="1"/>
  <c r="AW67" i="88" s="1"/>
  <c r="CC41" i="88"/>
  <c r="CC62" i="88" s="1"/>
  <c r="CC65" i="88" s="1"/>
  <c r="CC67" i="88" s="1"/>
  <c r="CD41" i="88"/>
  <c r="CD62" i="88" s="1"/>
  <c r="CD65" i="88" s="1"/>
  <c r="CD67" i="88" s="1"/>
  <c r="BB55" i="88"/>
  <c r="BB65" i="88"/>
  <c r="BB67" i="88" s="1"/>
  <c r="CA55" i="88"/>
  <c r="AL41" i="88"/>
  <c r="AL62" i="88" s="1"/>
  <c r="AL65" i="88" s="1"/>
  <c r="AL67" i="88" s="1"/>
  <c r="AL68" i="88" s="1"/>
  <c r="AA55" i="88"/>
  <c r="AQ65" i="88"/>
  <c r="AQ67" i="88" s="1"/>
  <c r="AQ68" i="88" s="1"/>
  <c r="BG55" i="88"/>
  <c r="BW65" i="88"/>
  <c r="BW67" i="88" s="1"/>
  <c r="BW68" i="88" s="1"/>
  <c r="AB41" i="88"/>
  <c r="AB62" i="88" s="1"/>
  <c r="AR55" i="88"/>
  <c r="BH41" i="88"/>
  <c r="BH62" i="88" s="1"/>
  <c r="BH65" i="88" s="1"/>
  <c r="BH67" i="88" s="1"/>
  <c r="BX55" i="88"/>
  <c r="U55" i="88"/>
  <c r="CG55" i="88"/>
  <c r="CB55" i="88"/>
  <c r="Y65" i="88"/>
  <c r="Y67" i="88" s="1"/>
  <c r="CF65" i="88"/>
  <c r="CF67" i="88" s="1"/>
  <c r="AC65" i="88"/>
  <c r="AC67" i="88" s="1"/>
  <c r="AC68" i="88" s="1"/>
  <c r="AC69" i="88" s="1"/>
  <c r="G55" i="88"/>
  <c r="CM23" i="88"/>
  <c r="BR41" i="88"/>
  <c r="BR62" i="88" s="1"/>
  <c r="BR65" i="88" s="1"/>
  <c r="BR67" i="88" s="1"/>
  <c r="AY41" i="88"/>
  <c r="AY62" i="88" s="1"/>
  <c r="AY65" i="88" s="1"/>
  <c r="AY67" i="88" s="1"/>
  <c r="CE41" i="88"/>
  <c r="CE62" i="88" s="1"/>
  <c r="CE65" i="88" s="1"/>
  <c r="CE67" i="88" s="1"/>
  <c r="CE68" i="88" s="1"/>
  <c r="R41" i="88"/>
  <c r="R62" i="88" s="1"/>
  <c r="CM54" i="88"/>
  <c r="AE41" i="88"/>
  <c r="AE62" i="88" s="1"/>
  <c r="AE65" i="88" s="1"/>
  <c r="AE67" i="88" s="1"/>
  <c r="CM53" i="88"/>
  <c r="CK41" i="88"/>
  <c r="CK62" i="88" s="1"/>
  <c r="CK65" i="88" s="1"/>
  <c r="CK67" i="88" s="1"/>
  <c r="G61" i="88"/>
  <c r="CM61" i="88" s="1"/>
  <c r="CM43" i="88"/>
  <c r="CM38" i="88"/>
  <c r="CM39" i="88"/>
  <c r="G60" i="88"/>
  <c r="CM42" i="88"/>
  <c r="BC55" i="88"/>
  <c r="BS65" i="88"/>
  <c r="BS67" i="88" s="1"/>
  <c r="CI41" i="88"/>
  <c r="CI62" i="88" s="1"/>
  <c r="CI65" i="88" s="1"/>
  <c r="CI67" i="88" s="1"/>
  <c r="AT70" i="88"/>
  <c r="CC55" i="88"/>
  <c r="CD55" i="88"/>
  <c r="O65" i="88"/>
  <c r="O67" i="88" s="1"/>
  <c r="O68" i="88" s="1"/>
  <c r="I41" i="88"/>
  <c r="I62" i="88" s="1"/>
  <c r="I65" i="88" s="1"/>
  <c r="I67" i="88" s="1"/>
  <c r="I68" i="88" s="1"/>
  <c r="BE55" i="88"/>
  <c r="BN41" i="88"/>
  <c r="BN62" i="88" s="1"/>
  <c r="BN65" i="88" s="1"/>
  <c r="BN67" i="88" s="1"/>
  <c r="AA41" i="88"/>
  <c r="AA62" i="88" s="1"/>
  <c r="AA65" i="88" s="1"/>
  <c r="AA67" i="88" s="1"/>
  <c r="BG41" i="88"/>
  <c r="BG62" i="88" s="1"/>
  <c r="BG65" i="88" s="1"/>
  <c r="BG67" i="88" s="1"/>
  <c r="BG68" i="88" s="1"/>
  <c r="BH55" i="88"/>
  <c r="AK41" i="88"/>
  <c r="AK62" i="88" s="1"/>
  <c r="AK65" i="88"/>
  <c r="AK67" i="88" s="1"/>
  <c r="BQ41" i="88"/>
  <c r="BQ62" i="88" s="1"/>
  <c r="BQ65" i="88" s="1"/>
  <c r="BQ67" i="88" s="1"/>
  <c r="AU41" i="88"/>
  <c r="AU62" i="88" s="1"/>
  <c r="AF55" i="88"/>
  <c r="CB41" i="88"/>
  <c r="CB62" i="88" s="1"/>
  <c r="CB65" i="88" s="1"/>
  <c r="CB67" i="88" s="1"/>
  <c r="BU41" i="88"/>
  <c r="BU62" i="88" s="1"/>
  <c r="BU65" i="88" s="1"/>
  <c r="BU67" i="88" s="1"/>
  <c r="BU68" i="88" s="1"/>
  <c r="AI41" i="88"/>
  <c r="AI62" i="88" s="1"/>
  <c r="AI65" i="88" s="1"/>
  <c r="AI67" i="88" s="1"/>
  <c r="N68" i="88"/>
  <c r="CM35" i="88"/>
  <c r="BC65" i="88"/>
  <c r="BC67" i="88" s="1"/>
  <c r="BC68" i="88" s="1"/>
  <c r="BR55" i="88"/>
  <c r="S65" i="88"/>
  <c r="S67" i="88" s="1"/>
  <c r="S68" i="88" s="1"/>
  <c r="AI55" i="88"/>
  <c r="BO55" i="88"/>
  <c r="T55" i="88"/>
  <c r="AJ41" i="88"/>
  <c r="AJ62" i="88" s="1"/>
  <c r="AJ65" i="88" s="1"/>
  <c r="AJ67" i="88" s="1"/>
  <c r="AZ55" i="88"/>
  <c r="BP41" i="88"/>
  <c r="BP62" i="88" s="1"/>
  <c r="BP65" i="88" s="1"/>
  <c r="BP67" i="88" s="1"/>
  <c r="CF55" i="88"/>
  <c r="M41" i="88"/>
  <c r="M62" i="88" s="1"/>
  <c r="M65" i="88" s="1"/>
  <c r="M67" i="88" s="1"/>
  <c r="M68" i="88" s="1"/>
  <c r="AS41" i="88"/>
  <c r="AS62" i="88" s="1"/>
  <c r="AS65" i="88" s="1"/>
  <c r="AS67" i="88" s="1"/>
  <c r="BY41" i="88"/>
  <c r="BY62" i="88" s="1"/>
  <c r="BY65" i="88" s="1"/>
  <c r="BY67" i="88" s="1"/>
  <c r="R65" i="88"/>
  <c r="R67" i="88" s="1"/>
  <c r="R68" i="88" s="1"/>
  <c r="AE55" i="88"/>
  <c r="P41" i="88"/>
  <c r="P62" i="88" s="1"/>
  <c r="P65" i="88" s="1"/>
  <c r="P67" i="88" s="1"/>
  <c r="P68" i="88" s="1"/>
  <c r="BL55" i="88"/>
  <c r="BL65" i="88"/>
  <c r="BL67" i="88" s="1"/>
  <c r="BL68" i="88" s="1"/>
  <c r="CH41" i="88"/>
  <c r="CH62" i="88" s="1"/>
  <c r="CH65" i="88" s="1"/>
  <c r="CH67" i="88" s="1"/>
  <c r="G41" i="88"/>
  <c r="CM34" i="88"/>
  <c r="CM40" i="88"/>
  <c r="W41" i="88"/>
  <c r="W62" i="88" s="1"/>
  <c r="W65" i="88" s="1"/>
  <c r="W67" i="88" s="1"/>
  <c r="W55" i="88"/>
  <c r="CI55" i="88"/>
  <c r="X55" i="88"/>
  <c r="AN41" i="88"/>
  <c r="AN62" i="88" s="1"/>
  <c r="AN65" i="88" s="1"/>
  <c r="AN67" i="88" s="1"/>
  <c r="BD55" i="88"/>
  <c r="BT41" i="88"/>
  <c r="BT62" i="88" s="1"/>
  <c r="BT65" i="88" s="1"/>
  <c r="BT67" i="88" s="1"/>
  <c r="BT68" i="88" s="1"/>
  <c r="CJ55" i="88"/>
  <c r="AD70" i="88"/>
  <c r="AG41" i="88"/>
  <c r="AG62" i="88" s="1"/>
  <c r="AG65" i="88"/>
  <c r="AG67" i="88" s="1"/>
  <c r="AG68" i="88" s="1"/>
  <c r="AW55" i="88"/>
  <c r="BM41" i="88"/>
  <c r="BM62" i="88" s="1"/>
  <c r="BM65" i="88" s="1"/>
  <c r="BM67" i="88" s="1"/>
  <c r="BV69" i="88"/>
  <c r="AV41" i="88"/>
  <c r="AV62" i="88" s="1"/>
  <c r="AV65" i="88" s="1"/>
  <c r="AV67" i="88" s="1"/>
  <c r="AV68" i="88" s="1"/>
  <c r="K41" i="88"/>
  <c r="K62" i="88" s="1"/>
  <c r="K65" i="88" s="1"/>
  <c r="K67" i="88" s="1"/>
  <c r="K68" i="88" s="1"/>
  <c r="L65" i="88"/>
  <c r="L67" i="88" s="1"/>
  <c r="L68" i="88" s="1"/>
  <c r="AB65" i="88"/>
  <c r="AB67" i="88" s="1"/>
  <c r="AB68" i="88" s="1"/>
  <c r="AR41" i="88"/>
  <c r="AR62" i="88" s="1"/>
  <c r="AR65" i="88" s="1"/>
  <c r="AR67" i="88" s="1"/>
  <c r="BX41" i="88"/>
  <c r="BX62" i="88" s="1"/>
  <c r="BX65" i="88" s="1"/>
  <c r="BX67" i="88" s="1"/>
  <c r="BX68" i="88" s="1"/>
  <c r="CM66" i="88"/>
  <c r="AK55" i="88"/>
  <c r="BQ55" i="88"/>
  <c r="AU65" i="88"/>
  <c r="AU67" i="88" s="1"/>
  <c r="AU68" i="88" s="1"/>
  <c r="AF65" i="88"/>
  <c r="AF67" i="88" s="1"/>
  <c r="AZ41" i="83"/>
  <c r="AZ60" i="83" s="1"/>
  <c r="T41" i="83"/>
  <c r="T60" i="83" s="1"/>
  <c r="AF41" i="83"/>
  <c r="AF60" i="83" s="1"/>
  <c r="BL41" i="83"/>
  <c r="BL60" i="83" s="1"/>
  <c r="BL63" i="83" s="1"/>
  <c r="BL65" i="83" s="1"/>
  <c r="S41" i="83"/>
  <c r="S60" i="83" s="1"/>
  <c r="CM39" i="83"/>
  <c r="V55" i="83"/>
  <c r="BB55" i="83"/>
  <c r="CH55" i="83"/>
  <c r="W55" i="83"/>
  <c r="BC55" i="83"/>
  <c r="AA55" i="83"/>
  <c r="AA41" i="83"/>
  <c r="AA60" i="83" s="1"/>
  <c r="AA63" i="83" s="1"/>
  <c r="AA65" i="83" s="1"/>
  <c r="BG55" i="83"/>
  <c r="BG41" i="83"/>
  <c r="BG60" i="83" s="1"/>
  <c r="AB41" i="83"/>
  <c r="AB60" i="83" s="1"/>
  <c r="AR55" i="83"/>
  <c r="BH41" i="83"/>
  <c r="BH60" i="83" s="1"/>
  <c r="BX55" i="83"/>
  <c r="AI55" i="83"/>
  <c r="BO55" i="83"/>
  <c r="X41" i="83"/>
  <c r="X60" i="83" s="1"/>
  <c r="BD41" i="83"/>
  <c r="BD60" i="83" s="1"/>
  <c r="CJ41" i="83"/>
  <c r="CJ60" i="83" s="1"/>
  <c r="CJ63" i="83" s="1"/>
  <c r="CJ65" i="83" s="1"/>
  <c r="AL55" i="83"/>
  <c r="AL41" i="83"/>
  <c r="AL60" i="83" s="1"/>
  <c r="BR55" i="83"/>
  <c r="BR41" i="83"/>
  <c r="BR60" i="83" s="1"/>
  <c r="BR63" i="83" s="1"/>
  <c r="BR65" i="83" s="1"/>
  <c r="BM41" i="83"/>
  <c r="BM60" i="83" s="1"/>
  <c r="BM63" i="83" s="1"/>
  <c r="BM65" i="83" s="1"/>
  <c r="AQ55" i="83"/>
  <c r="BW55" i="83"/>
  <c r="O41" i="83"/>
  <c r="O60" i="83" s="1"/>
  <c r="CA55" i="83"/>
  <c r="BA41" i="83"/>
  <c r="BA60" i="83" s="1"/>
  <c r="AX55" i="83"/>
  <c r="CD55" i="83"/>
  <c r="M41" i="83"/>
  <c r="M60" i="83" s="1"/>
  <c r="M63" i="83" s="1"/>
  <c r="M65" i="83" s="1"/>
  <c r="AS41" i="83"/>
  <c r="AS60" i="83" s="1"/>
  <c r="AW55" i="83"/>
  <c r="CM40" i="83"/>
  <c r="G55" i="83"/>
  <c r="G59" i="83"/>
  <c r="CM59" i="83" s="1"/>
  <c r="CM43" i="83"/>
  <c r="V41" i="83"/>
  <c r="V60" i="83" s="1"/>
  <c r="V63" i="83" s="1"/>
  <c r="V65" i="83" s="1"/>
  <c r="BB41" i="83"/>
  <c r="BB60" i="83" s="1"/>
  <c r="BB63" i="83" s="1"/>
  <c r="BB65" i="83" s="1"/>
  <c r="CH41" i="83"/>
  <c r="CH60" i="83" s="1"/>
  <c r="CH63" i="83" s="1"/>
  <c r="CH65" i="83" s="1"/>
  <c r="CM35" i="83"/>
  <c r="G58" i="83"/>
  <c r="CM42" i="83"/>
  <c r="G62" i="83"/>
  <c r="CM62" i="83" s="1"/>
  <c r="CM44" i="83"/>
  <c r="W41" i="83"/>
  <c r="W60" i="83" s="1"/>
  <c r="W63" i="83" s="1"/>
  <c r="W65" i="83" s="1"/>
  <c r="CI55" i="83"/>
  <c r="X63" i="83"/>
  <c r="X65" i="83" s="1"/>
  <c r="AN41" i="83"/>
  <c r="AN60" i="83" s="1"/>
  <c r="AN63" i="83" s="1"/>
  <c r="AN65" i="83" s="1"/>
  <c r="BD63" i="83"/>
  <c r="BD65" i="83" s="1"/>
  <c r="BT41" i="83"/>
  <c r="BT60" i="83" s="1"/>
  <c r="Q41" i="83"/>
  <c r="Q60" i="83" s="1"/>
  <c r="BQ41" i="83"/>
  <c r="BQ60" i="83" s="1"/>
  <c r="BQ63" i="83" s="1"/>
  <c r="BQ65" i="83" s="1"/>
  <c r="Z41" i="83"/>
  <c r="Z60" i="83" s="1"/>
  <c r="Z63" i="83" s="1"/>
  <c r="Z65" i="83" s="1"/>
  <c r="BF41" i="83"/>
  <c r="BF60" i="83" s="1"/>
  <c r="BF63" i="83" s="1"/>
  <c r="BF65" i="83" s="1"/>
  <c r="CL41" i="83"/>
  <c r="CL60" i="83" s="1"/>
  <c r="AQ41" i="83"/>
  <c r="AQ60" i="83" s="1"/>
  <c r="AQ63" i="83" s="1"/>
  <c r="AQ65" i="83" s="1"/>
  <c r="BG63" i="83"/>
  <c r="BG65" i="83" s="1"/>
  <c r="BW41" i="83"/>
  <c r="BW60" i="83" s="1"/>
  <c r="AB55" i="83"/>
  <c r="AB63" i="83"/>
  <c r="AB65" i="83" s="1"/>
  <c r="AR41" i="83"/>
  <c r="AR60" i="83" s="1"/>
  <c r="AR63" i="83" s="1"/>
  <c r="AR65" i="83" s="1"/>
  <c r="BH55" i="83"/>
  <c r="BH63" i="83"/>
  <c r="BH65" i="83" s="1"/>
  <c r="BX41" i="83"/>
  <c r="BX60" i="83" s="1"/>
  <c r="BX63" i="83" s="1"/>
  <c r="BX65" i="83" s="1"/>
  <c r="U41" i="83"/>
  <c r="U60" i="83" s="1"/>
  <c r="G53" i="83"/>
  <c r="CM51" i="83"/>
  <c r="O63" i="83"/>
  <c r="O65" i="83" s="1"/>
  <c r="AF63" i="83"/>
  <c r="AF65" i="83" s="1"/>
  <c r="AV41" i="83"/>
  <c r="AV60" i="83" s="1"/>
  <c r="AV63" i="83" s="1"/>
  <c r="AV65" i="83" s="1"/>
  <c r="CB41" i="83"/>
  <c r="CB60" i="83" s="1"/>
  <c r="CB63" i="83" s="1"/>
  <c r="CB65" i="83" s="1"/>
  <c r="I41" i="83"/>
  <c r="I60" i="83" s="1"/>
  <c r="AO41" i="83"/>
  <c r="AO60" i="83" s="1"/>
  <c r="BU41" i="83"/>
  <c r="BU60" i="83" s="1"/>
  <c r="AG41" i="83"/>
  <c r="AG60" i="83" s="1"/>
  <c r="AG63" i="83" s="1"/>
  <c r="AG65" i="83" s="1"/>
  <c r="BA63" i="83"/>
  <c r="BA65" i="83" s="1"/>
  <c r="R41" i="83"/>
  <c r="R60" i="83" s="1"/>
  <c r="R63" i="83" s="1"/>
  <c r="R65" i="83" s="1"/>
  <c r="AX41" i="83"/>
  <c r="AX60" i="83" s="1"/>
  <c r="AX63" i="83" s="1"/>
  <c r="AX65" i="83" s="1"/>
  <c r="CD41" i="83"/>
  <c r="CD60" i="83" s="1"/>
  <c r="CD63" i="83" s="1"/>
  <c r="CD65" i="83" s="1"/>
  <c r="AI41" i="83"/>
  <c r="AI60" i="83" s="1"/>
  <c r="BO41" i="83"/>
  <c r="BO60" i="83" s="1"/>
  <c r="AC41" i="83"/>
  <c r="AC60" i="83" s="1"/>
  <c r="AS63" i="83"/>
  <c r="AS65" i="83" s="1"/>
  <c r="BI41" i="83"/>
  <c r="BI60" i="83" s="1"/>
  <c r="AL63" i="83"/>
  <c r="AL65" i="83" s="1"/>
  <c r="G41" i="83"/>
  <c r="CM34" i="83"/>
  <c r="CM36" i="83"/>
  <c r="BC41" i="83"/>
  <c r="BC60" i="83" s="1"/>
  <c r="BC63" i="83" s="1"/>
  <c r="BC65" i="83" s="1"/>
  <c r="CI41" i="83"/>
  <c r="CI60" i="83" s="1"/>
  <c r="CI63" i="83" s="1"/>
  <c r="CI65" i="83" s="1"/>
  <c r="CM37" i="83"/>
  <c r="G61" i="83"/>
  <c r="CM61" i="83" s="1"/>
  <c r="CM45" i="83"/>
  <c r="CM38" i="83"/>
  <c r="AM55" i="83"/>
  <c r="AM41" i="83"/>
  <c r="AM60" i="83" s="1"/>
  <c r="AM63" i="83" s="1"/>
  <c r="AM65" i="83" s="1"/>
  <c r="BS55" i="83"/>
  <c r="BS41" i="83"/>
  <c r="BS60" i="83" s="1"/>
  <c r="BS63" i="83" s="1"/>
  <c r="BS65" i="83" s="1"/>
  <c r="H41" i="83"/>
  <c r="H60" i="83" s="1"/>
  <c r="H63" i="83" s="1"/>
  <c r="H65" i="83" s="1"/>
  <c r="BQ55" i="83"/>
  <c r="K41" i="83"/>
  <c r="K60" i="83" s="1"/>
  <c r="K63" i="83" s="1"/>
  <c r="K65" i="83" s="1"/>
  <c r="L41" i="83"/>
  <c r="L60" i="83" s="1"/>
  <c r="CM64" i="83"/>
  <c r="U55" i="83"/>
  <c r="CG41" i="83"/>
  <c r="CG60" i="83" s="1"/>
  <c r="CG63" i="83" s="1"/>
  <c r="CG65" i="83" s="1"/>
  <c r="N41" i="83"/>
  <c r="N60" i="83" s="1"/>
  <c r="N63" i="83" s="1"/>
  <c r="N65" i="83" s="1"/>
  <c r="AT55" i="83"/>
  <c r="AT41" i="83"/>
  <c r="AT60" i="83" s="1"/>
  <c r="AT63" i="83" s="1"/>
  <c r="AT65" i="83" s="1"/>
  <c r="BZ55" i="83"/>
  <c r="BZ41" i="83"/>
  <c r="BZ60" i="83" s="1"/>
  <c r="BZ63" i="83" s="1"/>
  <c r="BZ65" i="83" s="1"/>
  <c r="AU55" i="83"/>
  <c r="AU41" i="83"/>
  <c r="AU60" i="83" s="1"/>
  <c r="AU63" i="83" s="1"/>
  <c r="AU65" i="83" s="1"/>
  <c r="CA41" i="83"/>
  <c r="CA60" i="83" s="1"/>
  <c r="P41" i="83"/>
  <c r="P60" i="83" s="1"/>
  <c r="P63" i="83" s="1"/>
  <c r="P65" i="83" s="1"/>
  <c r="AO55" i="83"/>
  <c r="BU55" i="83"/>
  <c r="CK41" i="83"/>
  <c r="CK60" i="83" s="1"/>
  <c r="AG55" i="83"/>
  <c r="S63" i="83"/>
  <c r="S65" i="83" s="1"/>
  <c r="T55" i="83"/>
  <c r="AJ41" i="83"/>
  <c r="AJ60" i="83" s="1"/>
  <c r="AJ63" i="83" s="1"/>
  <c r="AJ65" i="83" s="1"/>
  <c r="AZ55" i="83"/>
  <c r="AZ63" i="83"/>
  <c r="AZ65" i="83" s="1"/>
  <c r="BP41" i="83"/>
  <c r="BP60" i="83" s="1"/>
  <c r="CF55" i="83"/>
  <c r="AC55" i="83"/>
  <c r="BI55" i="83"/>
  <c r="BY41" i="83"/>
  <c r="BY60" i="83" s="1"/>
  <c r="BY63" i="83" s="1"/>
  <c r="BY65" i="83" s="1"/>
  <c r="AW41" i="83"/>
  <c r="AW60" i="83" s="1"/>
  <c r="AW63" i="83" s="1"/>
  <c r="AW65" i="83" s="1"/>
  <c r="AK41" i="83"/>
  <c r="AK60" i="83" s="1"/>
  <c r="AK63" i="83" s="1"/>
  <c r="AK65" i="83" s="1"/>
  <c r="BT63" i="83"/>
  <c r="BT65" i="83" s="1"/>
  <c r="Q63" i="83"/>
  <c r="Q65" i="83" s="1"/>
  <c r="J63" i="83"/>
  <c r="J65" i="83" s="1"/>
  <c r="AP63" i="83"/>
  <c r="AP65" i="83" s="1"/>
  <c r="BV63" i="83"/>
  <c r="BV65" i="83" s="1"/>
  <c r="BW63" i="83"/>
  <c r="BW65" i="83" s="1"/>
  <c r="U63" i="83"/>
  <c r="U65" i="83" s="1"/>
  <c r="Y41" i="83"/>
  <c r="Y60" i="83" s="1"/>
  <c r="Y63" i="83" s="1"/>
  <c r="Y65" i="83" s="1"/>
  <c r="AO63" i="83"/>
  <c r="AO65" i="83" s="1"/>
  <c r="BE41" i="83"/>
  <c r="BE60" i="83" s="1"/>
  <c r="BE63" i="83" s="1"/>
  <c r="BE65" i="83" s="1"/>
  <c r="BU63" i="83"/>
  <c r="BU65" i="83" s="1"/>
  <c r="AH55" i="83"/>
  <c r="AH41" i="83"/>
  <c r="AH60" i="83" s="1"/>
  <c r="AH63" i="83" s="1"/>
  <c r="AH65" i="83" s="1"/>
  <c r="BN55" i="83"/>
  <c r="BN41" i="83"/>
  <c r="BN60" i="83" s="1"/>
  <c r="BN63" i="83" s="1"/>
  <c r="BN65" i="83" s="1"/>
  <c r="AI63" i="83"/>
  <c r="AI65" i="83" s="1"/>
  <c r="AY55" i="83"/>
  <c r="AY41" i="83"/>
  <c r="AY60" i="83" s="1"/>
  <c r="AY63" i="83" s="1"/>
  <c r="AY65" i="83" s="1"/>
  <c r="BO63" i="83"/>
  <c r="BO65" i="83" s="1"/>
  <c r="CE55" i="83"/>
  <c r="CE41" i="83"/>
  <c r="CE60" i="83" s="1"/>
  <c r="CE63" i="83" s="1"/>
  <c r="CE65" i="83" s="1"/>
  <c r="CM27" i="83"/>
  <c r="T63" i="83"/>
  <c r="T65" i="83" s="1"/>
  <c r="CF63" i="83"/>
  <c r="CF65" i="83" s="1"/>
  <c r="AC63" i="83"/>
  <c r="AC65" i="83" s="1"/>
  <c r="BI63" i="83"/>
  <c r="BI65" i="83" s="1"/>
  <c r="CC41" i="83"/>
  <c r="CC60" i="83" s="1"/>
  <c r="CC63" i="83" s="1"/>
  <c r="CC65" i="83" s="1"/>
  <c r="AK55" i="83"/>
  <c r="CL63" i="83"/>
  <c r="CL65" i="83" s="1"/>
  <c r="L63" i="83"/>
  <c r="L65" i="83" s="1"/>
  <c r="AD41" i="83"/>
  <c r="AD60" i="83" s="1"/>
  <c r="AD63" i="83" s="1"/>
  <c r="AD65" i="83" s="1"/>
  <c r="BJ41" i="83"/>
  <c r="BJ60" i="83" s="1"/>
  <c r="BJ63" i="83" s="1"/>
  <c r="BJ65" i="83" s="1"/>
  <c r="CM50" i="83"/>
  <c r="G52" i="83"/>
  <c r="CM52" i="83" s="1"/>
  <c r="AE41" i="83"/>
  <c r="AE60" i="83" s="1"/>
  <c r="AE63" i="83" s="1"/>
  <c r="AE65" i="83" s="1"/>
  <c r="BK41" i="83"/>
  <c r="BK60" i="83" s="1"/>
  <c r="BK63" i="83" s="1"/>
  <c r="BK65" i="83" s="1"/>
  <c r="CA63" i="83"/>
  <c r="CA65" i="83" s="1"/>
  <c r="I63" i="83"/>
  <c r="I65" i="83" s="1"/>
  <c r="CK63" i="83"/>
  <c r="CK65" i="83" s="1"/>
  <c r="CM33" i="83"/>
  <c r="BP63" i="83"/>
  <c r="BP65" i="83" s="1"/>
  <c r="K19" i="82"/>
  <c r="K20" i="82" s="1"/>
  <c r="J19" i="82"/>
  <c r="J20" i="82" s="1"/>
  <c r="I19" i="82"/>
  <c r="I20" i="82" s="1"/>
  <c r="H19" i="82"/>
  <c r="H20" i="82" s="1"/>
  <c r="G19" i="82"/>
  <c r="G20" i="82" s="1"/>
  <c r="F19" i="82"/>
  <c r="F20" i="82" s="1"/>
  <c r="E19" i="82"/>
  <c r="E20" i="82" s="1"/>
  <c r="D19" i="82"/>
  <c r="D20" i="82" s="1"/>
  <c r="C19" i="82"/>
  <c r="C20" i="82" s="1"/>
  <c r="B19" i="82"/>
  <c r="B20" i="82" s="1"/>
  <c r="K4" i="82"/>
  <c r="K21" i="82" s="1"/>
  <c r="J4" i="82"/>
  <c r="J21" i="82" s="1"/>
  <c r="I4" i="82"/>
  <c r="I21" i="82" s="1"/>
  <c r="H4" i="82"/>
  <c r="H21" i="82" s="1"/>
  <c r="G4" i="82"/>
  <c r="F4" i="82"/>
  <c r="F21" i="82" s="1"/>
  <c r="E4" i="82"/>
  <c r="E21" i="82" s="1"/>
  <c r="D4" i="82"/>
  <c r="D21" i="82" s="1"/>
  <c r="C4" i="82"/>
  <c r="C21" i="82" s="1"/>
  <c r="B4" i="82"/>
  <c r="B21" i="82" s="1"/>
  <c r="G14" i="82" l="1"/>
  <c r="G21" i="82"/>
  <c r="BY68" i="88"/>
  <c r="BJ70" i="88"/>
  <c r="AH70" i="88"/>
  <c r="K14" i="82"/>
  <c r="C14" i="82"/>
  <c r="AS68" i="88"/>
  <c r="AS69" i="88" s="1"/>
  <c r="AA68" i="88"/>
  <c r="AA69" i="88" s="1"/>
  <c r="CI68" i="88"/>
  <c r="CI70" i="88" s="1"/>
  <c r="AM68" i="88"/>
  <c r="BI69" i="88"/>
  <c r="BI70" i="88"/>
  <c r="BP68" i="88"/>
  <c r="BP69" i="88" s="1"/>
  <c r="CB68" i="88"/>
  <c r="CB69" i="88" s="1"/>
  <c r="BM68" i="88"/>
  <c r="CK68" i="88"/>
  <c r="CK69" i="88" s="1"/>
  <c r="BQ68" i="88"/>
  <c r="BQ69" i="88" s="1"/>
  <c r="BS68" i="88"/>
  <c r="BS69" i="88" s="1"/>
  <c r="BF70" i="88"/>
  <c r="BN68" i="88"/>
  <c r="BN69" i="88" s="1"/>
  <c r="AN68" i="88"/>
  <c r="AN70" i="88" s="1"/>
  <c r="AJ68" i="88"/>
  <c r="AJ69" i="88" s="1"/>
  <c r="AY68" i="88"/>
  <c r="AY69" i="88" s="1"/>
  <c r="BR68" i="88"/>
  <c r="BR69" i="88" s="1"/>
  <c r="Y68" i="88"/>
  <c r="Y69" i="88" s="1"/>
  <c r="V68" i="88"/>
  <c r="V70" i="88" s="1"/>
  <c r="AI68" i="88"/>
  <c r="AE68" i="88"/>
  <c r="BK70" i="88"/>
  <c r="AX68" i="88"/>
  <c r="AZ68" i="88"/>
  <c r="AZ69" i="88" s="1"/>
  <c r="CG68" i="88"/>
  <c r="CG69" i="88" s="1"/>
  <c r="AF68" i="88"/>
  <c r="AF70" i="88" s="1"/>
  <c r="AR68" i="88"/>
  <c r="AR69" i="88" s="1"/>
  <c r="U68" i="88"/>
  <c r="CC68" i="88"/>
  <c r="W68" i="88"/>
  <c r="W70" i="88" s="1"/>
  <c r="CH68" i="88"/>
  <c r="CH69" i="88" s="1"/>
  <c r="BH68" i="88"/>
  <c r="BH69" i="88" s="1"/>
  <c r="X68" i="88"/>
  <c r="X69" i="88" s="1"/>
  <c r="T68" i="88"/>
  <c r="T70" i="88" s="1"/>
  <c r="Z70" i="88"/>
  <c r="AV69" i="88"/>
  <c r="AV70" i="88"/>
  <c r="I69" i="88"/>
  <c r="I70" i="88"/>
  <c r="CI69" i="88"/>
  <c r="V69" i="88"/>
  <c r="BX69" i="88"/>
  <c r="BX70" i="88"/>
  <c r="BY69" i="88"/>
  <c r="BY70" i="88"/>
  <c r="AI69" i="88"/>
  <c r="AI70" i="88"/>
  <c r="AE69" i="88"/>
  <c r="AE70" i="88"/>
  <c r="AZ70" i="88"/>
  <c r="BA69" i="88"/>
  <c r="BA70" i="88"/>
  <c r="M69" i="88"/>
  <c r="M70" i="88"/>
  <c r="AR70" i="88"/>
  <c r="K69" i="88"/>
  <c r="K70" i="88"/>
  <c r="BM69" i="88"/>
  <c r="BM70" i="88"/>
  <c r="P69" i="88"/>
  <c r="P70" i="88"/>
  <c r="BU69" i="88"/>
  <c r="BU70" i="88"/>
  <c r="U69" i="88"/>
  <c r="U70" i="88"/>
  <c r="AU69" i="88"/>
  <c r="AU70" i="88"/>
  <c r="AG69" i="88"/>
  <c r="AG70" i="88"/>
  <c r="BC69" i="88"/>
  <c r="BC70" i="88"/>
  <c r="CC69" i="88"/>
  <c r="CC70" i="88"/>
  <c r="L69" i="88"/>
  <c r="L70" i="88"/>
  <c r="AL69" i="88"/>
  <c r="AL70" i="88"/>
  <c r="CM55" i="88"/>
  <c r="BW69" i="88"/>
  <c r="BW70" i="88"/>
  <c r="BB68" i="88"/>
  <c r="AB69" i="88"/>
  <c r="AB70" i="88"/>
  <c r="BL69" i="88"/>
  <c r="BL70" i="88"/>
  <c r="BS70" i="88"/>
  <c r="CM60" i="88"/>
  <c r="AC70" i="88"/>
  <c r="BG69" i="88"/>
  <c r="BG70" i="88"/>
  <c r="G62" i="88"/>
  <c r="CM62" i="88" s="1"/>
  <c r="CM41" i="88"/>
  <c r="AK68" i="88"/>
  <c r="O69" i="88"/>
  <c r="O70" i="88"/>
  <c r="H69" i="88"/>
  <c r="H70" i="88"/>
  <c r="AM69" i="88"/>
  <c r="AM70" i="88"/>
  <c r="BN70" i="88"/>
  <c r="BD68" i="88"/>
  <c r="CF68" i="88"/>
  <c r="AW68" i="88"/>
  <c r="BO68" i="88"/>
  <c r="CA68" i="88"/>
  <c r="R69" i="88"/>
  <c r="R70" i="88"/>
  <c r="N69" i="88"/>
  <c r="N70" i="88"/>
  <c r="BT69" i="88"/>
  <c r="BT70" i="88"/>
  <c r="CB70" i="88"/>
  <c r="Q69" i="88"/>
  <c r="Q70" i="88"/>
  <c r="CJ68" i="88"/>
  <c r="CE69" i="88"/>
  <c r="CE70" i="88"/>
  <c r="S69" i="88"/>
  <c r="S70" i="88"/>
  <c r="CD68" i="88"/>
  <c r="AO69" i="88"/>
  <c r="AO70" i="88"/>
  <c r="AQ69" i="88"/>
  <c r="AQ70" i="88"/>
  <c r="BE68" i="88"/>
  <c r="CM53" i="83"/>
  <c r="CM55" i="83"/>
  <c r="G60" i="83"/>
  <c r="CM60" i="83" s="1"/>
  <c r="CM41" i="83"/>
  <c r="CM58" i="83"/>
  <c r="D8" i="82"/>
  <c r="C8" i="95"/>
  <c r="D14" i="82"/>
  <c r="H14" i="82"/>
  <c r="E8" i="82"/>
  <c r="I8" i="82"/>
  <c r="H8" i="82"/>
  <c r="E14" i="82"/>
  <c r="I14" i="82"/>
  <c r="F8" i="82"/>
  <c r="J8" i="82"/>
  <c r="B14" i="82"/>
  <c r="F14" i="82"/>
  <c r="J14" i="82"/>
  <c r="C12" i="82"/>
  <c r="C13" i="82" s="1"/>
  <c r="C8" i="82"/>
  <c r="G12" i="82"/>
  <c r="G13" i="82" s="1"/>
  <c r="G8" i="82"/>
  <c r="K12" i="82"/>
  <c r="K13" i="82" s="1"/>
  <c r="K8" i="82"/>
  <c r="D12" i="82"/>
  <c r="D13" i="82" s="1"/>
  <c r="H12" i="82"/>
  <c r="H13" i="82" s="1"/>
  <c r="E12" i="82"/>
  <c r="E13" i="82" s="1"/>
  <c r="I12" i="82"/>
  <c r="I13" i="82" s="1"/>
  <c r="B12" i="82"/>
  <c r="B13" i="82" s="1"/>
  <c r="F12" i="82"/>
  <c r="F13" i="82" s="1"/>
  <c r="J12" i="82"/>
  <c r="J13" i="82" s="1"/>
  <c r="BR70" i="88" l="1"/>
  <c r="AS70" i="88"/>
  <c r="CK70" i="88"/>
  <c r="AA70" i="88"/>
  <c r="CG70" i="88"/>
  <c r="AF69" i="88"/>
  <c r="AY70" i="88"/>
  <c r="BP70" i="88"/>
  <c r="AN69" i="88"/>
  <c r="T69" i="88"/>
  <c r="BH70" i="88"/>
  <c r="X70" i="88"/>
  <c r="W69" i="88"/>
  <c r="Y70" i="88"/>
  <c r="AJ70" i="88"/>
  <c r="BQ70" i="88"/>
  <c r="AX69" i="88"/>
  <c r="AX70" i="88"/>
  <c r="CH70" i="88"/>
  <c r="CD69" i="88"/>
  <c r="CD70" i="88"/>
  <c r="AW69" i="88"/>
  <c r="AW70" i="88"/>
  <c r="CF69" i="88"/>
  <c r="CF70" i="88"/>
  <c r="G65" i="88"/>
  <c r="BB69" i="88"/>
  <c r="BB70" i="88"/>
  <c r="BO69" i="88"/>
  <c r="BO70" i="88"/>
  <c r="BE69" i="88"/>
  <c r="BE70" i="88"/>
  <c r="CJ69" i="88"/>
  <c r="CJ70" i="88"/>
  <c r="CA69" i="88"/>
  <c r="CA70" i="88"/>
  <c r="BD69" i="88"/>
  <c r="BD70" i="88"/>
  <c r="AK69" i="88"/>
  <c r="AK70" i="88"/>
  <c r="G63" i="83"/>
  <c r="J19" i="77"/>
  <c r="C9" i="77"/>
  <c r="D9" i="77"/>
  <c r="E9" i="77"/>
  <c r="F9" i="77"/>
  <c r="D8" i="95" l="1"/>
  <c r="D8" i="102"/>
  <c r="D8" i="101"/>
  <c r="D8" i="103"/>
  <c r="CM65" i="88"/>
  <c r="CM67" i="88" s="1"/>
  <c r="G67" i="88"/>
  <c r="G68" i="88" s="1"/>
  <c r="CM63" i="83"/>
  <c r="CM65" i="83" s="1"/>
  <c r="G65" i="83"/>
  <c r="G66" i="83" s="1"/>
  <c r="K19" i="77"/>
  <c r="E8" i="102" l="1"/>
  <c r="E8" i="101"/>
  <c r="E8" i="103"/>
  <c r="E8" i="95"/>
  <c r="C8" i="96"/>
  <c r="G69" i="88"/>
  <c r="CM69" i="88" s="1"/>
  <c r="CM68" i="88"/>
  <c r="G70" i="88"/>
  <c r="CM70" i="88" s="1"/>
  <c r="G67" i="83"/>
  <c r="G68" i="83"/>
  <c r="L19" i="77"/>
  <c r="F8" i="95" l="1"/>
  <c r="F8" i="101"/>
  <c r="F8" i="103"/>
  <c r="F8" i="102"/>
  <c r="G8" i="96"/>
  <c r="F8" i="96"/>
  <c r="E8" i="96"/>
  <c r="D8" i="96"/>
  <c r="M19" i="77"/>
  <c r="G8" i="95" l="1"/>
  <c r="G8" i="101"/>
  <c r="G8" i="103"/>
  <c r="G8" i="102"/>
  <c r="N19" i="77"/>
  <c r="L19" i="16"/>
  <c r="L18" i="16" s="1"/>
  <c r="L14" i="16"/>
  <c r="L15" i="16"/>
  <c r="L16" i="16"/>
  <c r="L17" i="16"/>
  <c r="L13" i="16"/>
  <c r="L7" i="16"/>
  <c r="L8" i="16"/>
  <c r="L9" i="16"/>
  <c r="L10" i="16"/>
  <c r="L11" i="16"/>
  <c r="L6" i="16"/>
  <c r="J16" i="80"/>
  <c r="H26" i="80"/>
  <c r="I26" i="80" s="1"/>
  <c r="J26" i="80" s="1"/>
  <c r="K26" i="80" s="1"/>
  <c r="L26" i="80" s="1"/>
  <c r="M26" i="80" s="1"/>
  <c r="N26" i="80" s="1"/>
  <c r="O26" i="80" s="1"/>
  <c r="P26" i="80" s="1"/>
  <c r="Q26" i="80" s="1"/>
  <c r="R26" i="80" s="1"/>
  <c r="S26" i="80" s="1"/>
  <c r="T26" i="80" s="1"/>
  <c r="U26" i="80" s="1"/>
  <c r="V26" i="80" s="1"/>
  <c r="W26" i="80" s="1"/>
  <c r="X26" i="80" s="1"/>
  <c r="Y26" i="80" s="1"/>
  <c r="Z26" i="80" s="1"/>
  <c r="H8" i="95" l="1"/>
  <c r="H8" i="103"/>
  <c r="H8" i="102"/>
  <c r="H8" i="101"/>
  <c r="O19" i="77"/>
  <c r="M16" i="80"/>
  <c r="Y16" i="80"/>
  <c r="I16" i="80"/>
  <c r="U16" i="80"/>
  <c r="Q16" i="80"/>
  <c r="X16" i="80"/>
  <c r="T16" i="80"/>
  <c r="P16" i="80"/>
  <c r="L16" i="80"/>
  <c r="H16" i="80"/>
  <c r="W16" i="80"/>
  <c r="S16" i="80"/>
  <c r="O16" i="80"/>
  <c r="K16" i="80"/>
  <c r="Z16" i="80"/>
  <c r="V16" i="80"/>
  <c r="R16" i="80"/>
  <c r="N16" i="80"/>
  <c r="L12" i="16"/>
  <c r="L4" i="16"/>
  <c r="I8" i="95" l="1"/>
  <c r="I8" i="103"/>
  <c r="I8" i="102"/>
  <c r="I8" i="101"/>
  <c r="P19" i="77"/>
  <c r="K15" i="80"/>
  <c r="O15" i="80"/>
  <c r="S15" i="80"/>
  <c r="W15" i="80"/>
  <c r="H15" i="80"/>
  <c r="N15" i="80"/>
  <c r="L15" i="80"/>
  <c r="P15" i="80"/>
  <c r="T15" i="80"/>
  <c r="X15" i="80"/>
  <c r="J15" i="80"/>
  <c r="R15" i="80"/>
  <c r="Z15" i="80"/>
  <c r="I15" i="80"/>
  <c r="M15" i="80"/>
  <c r="Q15" i="80"/>
  <c r="U15" i="80"/>
  <c r="Y15" i="80"/>
  <c r="V15" i="80"/>
  <c r="L3" i="16"/>
  <c r="L21" i="16" s="1"/>
  <c r="J8" i="95" l="1"/>
  <c r="J8" i="103"/>
  <c r="J8" i="102"/>
  <c r="J8" i="101"/>
  <c r="G8" i="80"/>
  <c r="E8" i="80" s="1"/>
  <c r="E24" i="80" s="1"/>
  <c r="Q19" i="77"/>
  <c r="L17" i="80"/>
  <c r="F8" i="80"/>
  <c r="F9" i="80" s="1"/>
  <c r="D8" i="80"/>
  <c r="D24" i="80" s="1"/>
  <c r="G9" i="80"/>
  <c r="C8" i="80"/>
  <c r="C9" i="80" s="1"/>
  <c r="I15" i="78"/>
  <c r="Y15" i="78"/>
  <c r="I14" i="78"/>
  <c r="K14" i="78"/>
  <c r="N14" i="78"/>
  <c r="O14" i="78"/>
  <c r="Q14" i="78"/>
  <c r="S14" i="78"/>
  <c r="D4" i="79"/>
  <c r="E4" i="79" s="1"/>
  <c r="F4" i="79" s="1"/>
  <c r="G4" i="79" s="1"/>
  <c r="H4" i="79" s="1"/>
  <c r="I4" i="79" s="1"/>
  <c r="J4" i="79" s="1"/>
  <c r="K4" i="79" s="1"/>
  <c r="L4" i="79" s="1"/>
  <c r="M4" i="79" s="1"/>
  <c r="N4" i="79" s="1"/>
  <c r="O4" i="79" s="1"/>
  <c r="P4" i="79" s="1"/>
  <c r="Q4" i="79" s="1"/>
  <c r="R4" i="79" s="1"/>
  <c r="S4" i="79" s="1"/>
  <c r="T4" i="79" s="1"/>
  <c r="U4" i="79" s="1"/>
  <c r="V4" i="79" s="1"/>
  <c r="W4" i="79" s="1"/>
  <c r="AA14" i="78" s="1"/>
  <c r="D7" i="79"/>
  <c r="J15" i="78" s="1"/>
  <c r="D9" i="79"/>
  <c r="I16" i="78" s="1"/>
  <c r="C10" i="95" s="1"/>
  <c r="J52" i="77"/>
  <c r="K52" i="77"/>
  <c r="L52" i="77"/>
  <c r="M52" i="77"/>
  <c r="N52" i="77"/>
  <c r="O52" i="77"/>
  <c r="P52" i="77"/>
  <c r="Q52" i="77"/>
  <c r="R52" i="77"/>
  <c r="S52" i="77"/>
  <c r="T52" i="77"/>
  <c r="U52" i="77"/>
  <c r="V52" i="77"/>
  <c r="W52" i="77"/>
  <c r="X52" i="77"/>
  <c r="Y52" i="77"/>
  <c r="Z52" i="77"/>
  <c r="I52" i="77"/>
  <c r="J51" i="77"/>
  <c r="K51" i="77"/>
  <c r="L51" i="77"/>
  <c r="M51" i="77"/>
  <c r="N51" i="77"/>
  <c r="O51" i="77"/>
  <c r="P51" i="77"/>
  <c r="Q51" i="77"/>
  <c r="R51" i="77"/>
  <c r="S51" i="77"/>
  <c r="T51" i="77"/>
  <c r="U51" i="77"/>
  <c r="V51" i="77"/>
  <c r="W51" i="77"/>
  <c r="X51" i="77"/>
  <c r="Y51" i="77"/>
  <c r="Z51" i="77"/>
  <c r="I51" i="77"/>
  <c r="H51" i="77"/>
  <c r="K8" i="95" l="1"/>
  <c r="K8" i="103"/>
  <c r="K8" i="102"/>
  <c r="K8" i="101"/>
  <c r="O17" i="80"/>
  <c r="S17" i="80"/>
  <c r="Z17" i="80"/>
  <c r="V17" i="80"/>
  <c r="R17" i="80"/>
  <c r="N17" i="80"/>
  <c r="Y17" i="80"/>
  <c r="X17" i="80"/>
  <c r="U17" i="80"/>
  <c r="Q17" i="80"/>
  <c r="M17" i="80"/>
  <c r="J17" i="80"/>
  <c r="W17" i="80"/>
  <c r="W14" i="78"/>
  <c r="Q15" i="78"/>
  <c r="E9" i="80"/>
  <c r="Z14" i="78"/>
  <c r="R14" i="78"/>
  <c r="J14" i="78"/>
  <c r="O15" i="78"/>
  <c r="Y56" i="77"/>
  <c r="Q56" i="77"/>
  <c r="Y14" i="78"/>
  <c r="M15" i="78"/>
  <c r="X14" i="78"/>
  <c r="P14" i="78"/>
  <c r="AA15" i="78"/>
  <c r="K15" i="78"/>
  <c r="U14" i="78"/>
  <c r="M14" i="78"/>
  <c r="U15" i="78"/>
  <c r="V14" i="78"/>
  <c r="W15" i="78"/>
  <c r="U56" i="77"/>
  <c r="H14" i="78"/>
  <c r="T14" i="78"/>
  <c r="L14" i="78"/>
  <c r="S15" i="78"/>
  <c r="H17" i="80"/>
  <c r="I17" i="80"/>
  <c r="K17" i="80"/>
  <c r="T17" i="80"/>
  <c r="P17" i="80"/>
  <c r="R19" i="77"/>
  <c r="X56" i="77"/>
  <c r="P56" i="77"/>
  <c r="I56" i="77"/>
  <c r="W56" i="77"/>
  <c r="S56" i="77"/>
  <c r="O56" i="77"/>
  <c r="K56" i="77"/>
  <c r="T56" i="77"/>
  <c r="L56" i="77"/>
  <c r="Z56" i="77"/>
  <c r="V56" i="77"/>
  <c r="R56" i="77"/>
  <c r="N56" i="77"/>
  <c r="M56" i="77"/>
  <c r="J56" i="77"/>
  <c r="F24" i="80"/>
  <c r="D9" i="80"/>
  <c r="C24" i="80"/>
  <c r="Y16" i="78"/>
  <c r="Y21" i="77" s="1"/>
  <c r="U16" i="78"/>
  <c r="U21" i="77" s="1"/>
  <c r="Q16" i="78"/>
  <c r="Q21" i="77" s="1"/>
  <c r="M16" i="78"/>
  <c r="M21" i="77" s="1"/>
  <c r="H16" i="78"/>
  <c r="H21" i="77" s="1"/>
  <c r="X16" i="78"/>
  <c r="X21" i="77" s="1"/>
  <c r="T16" i="78"/>
  <c r="T21" i="77" s="1"/>
  <c r="P16" i="78"/>
  <c r="P21" i="77" s="1"/>
  <c r="L16" i="78"/>
  <c r="L21" i="77" s="1"/>
  <c r="K16" i="78"/>
  <c r="K21" i="77" s="1"/>
  <c r="AA16" i="78"/>
  <c r="W16" i="78"/>
  <c r="W21" i="77" s="1"/>
  <c r="S16" i="78"/>
  <c r="S21" i="77" s="1"/>
  <c r="O16" i="78"/>
  <c r="O21" i="77" s="1"/>
  <c r="Z16" i="78"/>
  <c r="Z21" i="77" s="1"/>
  <c r="V16" i="78"/>
  <c r="V21" i="77" s="1"/>
  <c r="R16" i="78"/>
  <c r="R21" i="77" s="1"/>
  <c r="N16" i="78"/>
  <c r="N21" i="77" s="1"/>
  <c r="J16" i="78"/>
  <c r="J21" i="77" s="1"/>
  <c r="H15" i="78"/>
  <c r="X15" i="78"/>
  <c r="T15" i="78"/>
  <c r="P15" i="78"/>
  <c r="L15" i="78"/>
  <c r="Z15" i="78"/>
  <c r="V15" i="78"/>
  <c r="R15" i="78"/>
  <c r="N15" i="78"/>
  <c r="D14" i="79"/>
  <c r="D12" i="79" s="1"/>
  <c r="H52" i="77"/>
  <c r="H56" i="77" s="1"/>
  <c r="B10" i="95" l="1"/>
  <c r="B10" i="101"/>
  <c r="B10" i="103"/>
  <c r="B10" i="102"/>
  <c r="G10" i="95"/>
  <c r="G10" i="103"/>
  <c r="G10" i="102"/>
  <c r="G10" i="101"/>
  <c r="K10" i="95"/>
  <c r="K10" i="101"/>
  <c r="K10" i="103"/>
  <c r="K10" i="102"/>
  <c r="H10" i="95"/>
  <c r="H10" i="102"/>
  <c r="H10" i="101"/>
  <c r="H10" i="103"/>
  <c r="I10" i="95"/>
  <c r="I10" i="102"/>
  <c r="I10" i="101"/>
  <c r="I10" i="103"/>
  <c r="E10" i="103"/>
  <c r="E10" i="102"/>
  <c r="E10" i="101"/>
  <c r="F10" i="95"/>
  <c r="F10" i="103"/>
  <c r="F10" i="102"/>
  <c r="F10" i="101"/>
  <c r="D10" i="95"/>
  <c r="D10" i="103"/>
  <c r="D10" i="102"/>
  <c r="D10" i="101"/>
  <c r="J10" i="95"/>
  <c r="J10" i="101"/>
  <c r="J10" i="103"/>
  <c r="J10" i="102"/>
  <c r="E10" i="95"/>
  <c r="C10" i="96"/>
  <c r="S19" i="77"/>
  <c r="D3" i="79"/>
  <c r="D15" i="79" s="1"/>
  <c r="I17" i="78"/>
  <c r="Q17" i="78"/>
  <c r="J17" i="78"/>
  <c r="N17" i="78"/>
  <c r="R17" i="78"/>
  <c r="V17" i="78"/>
  <c r="Z17" i="78"/>
  <c r="O17" i="78"/>
  <c r="W17" i="78"/>
  <c r="K17" i="78"/>
  <c r="S17" i="78"/>
  <c r="AA17" i="78"/>
  <c r="L17" i="78"/>
  <c r="P17" i="78"/>
  <c r="T17" i="78"/>
  <c r="X17" i="78"/>
  <c r="H17" i="78"/>
  <c r="M17" i="78"/>
  <c r="U17" i="78"/>
  <c r="Y17" i="78"/>
  <c r="B22" i="60"/>
  <c r="B11" i="59"/>
  <c r="H26" i="78"/>
  <c r="I26" i="78" s="1"/>
  <c r="J26" i="78" s="1"/>
  <c r="K26" i="78" s="1"/>
  <c r="L26" i="78" s="1"/>
  <c r="M26" i="78" s="1"/>
  <c r="N26" i="78" s="1"/>
  <c r="O26" i="78" s="1"/>
  <c r="P26" i="78" s="1"/>
  <c r="Q26" i="78" s="1"/>
  <c r="R26" i="78" s="1"/>
  <c r="S26" i="78" s="1"/>
  <c r="T26" i="78" s="1"/>
  <c r="U26" i="78" s="1"/>
  <c r="V26" i="78" s="1"/>
  <c r="W26" i="78" s="1"/>
  <c r="X26" i="78" s="1"/>
  <c r="Y26" i="78" s="1"/>
  <c r="Z26" i="78" s="1"/>
  <c r="AA26" i="78" s="1"/>
  <c r="AA12" i="78"/>
  <c r="Z12" i="78"/>
  <c r="Y12" i="78"/>
  <c r="X12" i="78"/>
  <c r="W12" i="78"/>
  <c r="W10" i="78" s="1"/>
  <c r="V12" i="78"/>
  <c r="U12" i="78"/>
  <c r="T12" i="78"/>
  <c r="S12" i="78"/>
  <c r="R12" i="78"/>
  <c r="Q12" i="78"/>
  <c r="Q10" i="78" s="1"/>
  <c r="P12" i="78"/>
  <c r="O12" i="78"/>
  <c r="O10" i="78" s="1"/>
  <c r="N12" i="78"/>
  <c r="M12" i="78"/>
  <c r="L12" i="78"/>
  <c r="K12" i="78"/>
  <c r="J12" i="78"/>
  <c r="I12" i="78"/>
  <c r="H12" i="78"/>
  <c r="AA11" i="78"/>
  <c r="AA10" i="78" s="1"/>
  <c r="Z11" i="78"/>
  <c r="Y11" i="78"/>
  <c r="X11" i="78"/>
  <c r="W11" i="78"/>
  <c r="V11" i="78"/>
  <c r="V10" i="78" s="1"/>
  <c r="U11" i="78"/>
  <c r="U10" i="78" s="1"/>
  <c r="T11" i="78"/>
  <c r="S11" i="78"/>
  <c r="S10" i="78" s="1"/>
  <c r="R11" i="78"/>
  <c r="Q11" i="78"/>
  <c r="P11" i="78"/>
  <c r="O11" i="78"/>
  <c r="N11" i="78"/>
  <c r="N10" i="78" s="1"/>
  <c r="M11" i="78"/>
  <c r="M10" i="78" s="1"/>
  <c r="L11" i="78"/>
  <c r="L10" i="78" s="1"/>
  <c r="K11" i="78"/>
  <c r="K10" i="78" s="1"/>
  <c r="J11" i="78"/>
  <c r="I11" i="78"/>
  <c r="H11" i="78"/>
  <c r="Z10" i="78"/>
  <c r="Y10" i="78"/>
  <c r="T10" i="78"/>
  <c r="G7" i="78"/>
  <c r="G8" i="78" s="1"/>
  <c r="R10" i="78" l="1"/>
  <c r="H10" i="78"/>
  <c r="P10" i="78"/>
  <c r="X10" i="78"/>
  <c r="J10" i="78"/>
  <c r="I10" i="78"/>
  <c r="F10" i="96"/>
  <c r="G10" i="96"/>
  <c r="D10" i="96"/>
  <c r="E10" i="96"/>
  <c r="T19" i="77"/>
  <c r="D18" i="79"/>
  <c r="I18" i="78"/>
  <c r="Q18" i="78"/>
  <c r="U18" i="78"/>
  <c r="J18" i="78"/>
  <c r="N18" i="78"/>
  <c r="R18" i="78"/>
  <c r="V18" i="78"/>
  <c r="Z18" i="78"/>
  <c r="S18" i="78"/>
  <c r="AA18" i="78"/>
  <c r="K18" i="78"/>
  <c r="O18" i="78"/>
  <c r="W18" i="78"/>
  <c r="L18" i="78"/>
  <c r="P18" i="78"/>
  <c r="T18" i="78"/>
  <c r="X18" i="78"/>
  <c r="H18" i="78"/>
  <c r="M18" i="78"/>
  <c r="Y18" i="78"/>
  <c r="C7" i="78"/>
  <c r="D7" i="78"/>
  <c r="D8" i="78" s="1"/>
  <c r="E7" i="78"/>
  <c r="F7" i="78"/>
  <c r="F24" i="78" s="1"/>
  <c r="U19" i="77" l="1"/>
  <c r="D24" i="78"/>
  <c r="F8" i="78"/>
  <c r="E24" i="78"/>
  <c r="E8" i="78"/>
  <c r="C8" i="78"/>
  <c r="C24" i="78"/>
  <c r="V19" i="77" l="1"/>
  <c r="AA19" i="78"/>
  <c r="AA21" i="78" s="1"/>
  <c r="W19" i="77" l="1"/>
  <c r="J19" i="78"/>
  <c r="J54" i="77" s="1"/>
  <c r="S19" i="78"/>
  <c r="H19" i="78"/>
  <c r="O19" i="78"/>
  <c r="M19" i="78"/>
  <c r="AA24" i="78"/>
  <c r="AA22" i="78"/>
  <c r="Y19" i="78"/>
  <c r="L19" i="78"/>
  <c r="V19" i="78"/>
  <c r="U19" i="78"/>
  <c r="R19" i="78"/>
  <c r="I19" i="78"/>
  <c r="P19" i="78"/>
  <c r="Q19" i="78"/>
  <c r="X19" i="78"/>
  <c r="Z19" i="78"/>
  <c r="K19" i="78"/>
  <c r="W19" i="78"/>
  <c r="N19" i="78"/>
  <c r="T19" i="78"/>
  <c r="M21" i="78" l="1"/>
  <c r="M54" i="77"/>
  <c r="O21" i="78"/>
  <c r="O54" i="77"/>
  <c r="W21" i="78"/>
  <c r="W54" i="77"/>
  <c r="H21" i="78"/>
  <c r="H24" i="78" s="1"/>
  <c r="H54" i="77"/>
  <c r="T21" i="78"/>
  <c r="T54" i="77"/>
  <c r="K21" i="78"/>
  <c r="K24" i="78" s="1"/>
  <c r="K54" i="77"/>
  <c r="V21" i="78"/>
  <c r="V22" i="78" s="1"/>
  <c r="V54" i="77"/>
  <c r="S21" i="78"/>
  <c r="S24" i="78" s="1"/>
  <c r="S54" i="77"/>
  <c r="N21" i="78"/>
  <c r="N54" i="77"/>
  <c r="Z21" i="78"/>
  <c r="Z22" i="78" s="1"/>
  <c r="Z54" i="77"/>
  <c r="P21" i="78"/>
  <c r="P24" i="78" s="1"/>
  <c r="P54" i="77"/>
  <c r="R21" i="78"/>
  <c r="R22" i="78" s="1"/>
  <c r="R54" i="77"/>
  <c r="L21" i="78"/>
  <c r="L54" i="77"/>
  <c r="Y21" i="78"/>
  <c r="Y24" i="78" s="1"/>
  <c r="Y54" i="77"/>
  <c r="I21" i="78"/>
  <c r="I24" i="78" s="1"/>
  <c r="I54" i="77"/>
  <c r="U21" i="78"/>
  <c r="U24" i="78" s="1"/>
  <c r="U54" i="77"/>
  <c r="X21" i="78"/>
  <c r="X54" i="77"/>
  <c r="Q21" i="78"/>
  <c r="Q24" i="78" s="1"/>
  <c r="Q54" i="77"/>
  <c r="X19" i="77"/>
  <c r="N24" i="78"/>
  <c r="N22" i="78"/>
  <c r="M24" i="78"/>
  <c r="M22" i="78"/>
  <c r="J21" i="78"/>
  <c r="G16" i="78"/>
  <c r="G14" i="78"/>
  <c r="G15" i="78"/>
  <c r="G17" i="78"/>
  <c r="T24" i="78"/>
  <c r="T22" i="78"/>
  <c r="K22" i="78"/>
  <c r="X24" i="78"/>
  <c r="X22" i="78"/>
  <c r="W24" i="78"/>
  <c r="W22" i="78"/>
  <c r="G18" i="78"/>
  <c r="AA27" i="78"/>
  <c r="AA28" i="78"/>
  <c r="L22" i="78"/>
  <c r="L24" i="78"/>
  <c r="O24" i="78"/>
  <c r="O22" i="78"/>
  <c r="U22" i="78" l="1"/>
  <c r="I22" i="78"/>
  <c r="Y22" i="78"/>
  <c r="Z24" i="78"/>
  <c r="Z28" i="78" s="1"/>
  <c r="V24" i="78"/>
  <c r="P22" i="78"/>
  <c r="S22" i="78"/>
  <c r="R24" i="78"/>
  <c r="R27" i="78" s="1"/>
  <c r="H22" i="78"/>
  <c r="Q22" i="78"/>
  <c r="Y19" i="77"/>
  <c r="O28" i="78"/>
  <c r="O27" i="78"/>
  <c r="Z27" i="78"/>
  <c r="X28" i="78"/>
  <c r="X27" i="78"/>
  <c r="T27" i="78"/>
  <c r="T28" i="78"/>
  <c r="Q27" i="78"/>
  <c r="Q28" i="78"/>
  <c r="N27" i="78"/>
  <c r="N28" i="78"/>
  <c r="H29" i="78"/>
  <c r="H28" i="78"/>
  <c r="H27" i="78"/>
  <c r="L27" i="78"/>
  <c r="L28" i="78"/>
  <c r="I27" i="78"/>
  <c r="I28" i="78"/>
  <c r="J24" i="78"/>
  <c r="J22" i="78"/>
  <c r="M27" i="78"/>
  <c r="M28" i="78"/>
  <c r="U28" i="78"/>
  <c r="U27" i="78"/>
  <c r="P27" i="78"/>
  <c r="P28" i="78"/>
  <c r="Y28" i="78"/>
  <c r="Y27" i="78"/>
  <c r="S28" i="78"/>
  <c r="S27" i="78"/>
  <c r="W28" i="78"/>
  <c r="W27" i="78"/>
  <c r="K27" i="78"/>
  <c r="K28" i="78"/>
  <c r="V27" i="78"/>
  <c r="V28" i="78"/>
  <c r="R28" i="78" l="1"/>
  <c r="Z19" i="77"/>
  <c r="J27" i="78"/>
  <c r="G32" i="78" s="1"/>
  <c r="J28" i="78"/>
  <c r="H37" i="78"/>
  <c r="H39" i="78" s="1"/>
  <c r="I29" i="78"/>
  <c r="H38" i="78"/>
  <c r="H40" i="78" s="1"/>
  <c r="G33" i="78"/>
  <c r="J29" i="78" l="1"/>
  <c r="I38" i="78"/>
  <c r="I40" i="78" s="1"/>
  <c r="I37" i="78"/>
  <c r="I39" i="78" s="1"/>
  <c r="J37" i="78" l="1"/>
  <c r="J39" i="78" s="1"/>
  <c r="K29" i="78"/>
  <c r="J38" i="78"/>
  <c r="J40" i="78" s="1"/>
  <c r="L29" i="78" l="1"/>
  <c r="K38" i="78"/>
  <c r="K40" i="78" s="1"/>
  <c r="K37" i="78"/>
  <c r="K39" i="78" s="1"/>
  <c r="L37" i="78" l="1"/>
  <c r="L39" i="78" s="1"/>
  <c r="M29" i="78"/>
  <c r="L38" i="78"/>
  <c r="L40" i="78" s="1"/>
  <c r="M37" i="78" l="1"/>
  <c r="M39" i="78" s="1"/>
  <c r="N29" i="78"/>
  <c r="M38" i="78"/>
  <c r="M40" i="78" s="1"/>
  <c r="N37" i="78" l="1"/>
  <c r="N39" i="78" s="1"/>
  <c r="O29" i="78"/>
  <c r="N38" i="78"/>
  <c r="N40" i="78" s="1"/>
  <c r="P29" i="78" l="1"/>
  <c r="O38" i="78"/>
  <c r="O40" i="78" s="1"/>
  <c r="O37" i="78"/>
  <c r="O39" i="78" s="1"/>
  <c r="Q29" i="78" l="1"/>
  <c r="P38" i="78"/>
  <c r="P40" i="78" s="1"/>
  <c r="P37" i="78"/>
  <c r="P39" i="78" s="1"/>
  <c r="R29" i="78" l="1"/>
  <c r="Q38" i="78"/>
  <c r="Q40" i="78" s="1"/>
  <c r="Q37" i="78"/>
  <c r="Q39" i="78" s="1"/>
  <c r="R37" i="78" l="1"/>
  <c r="R39" i="78" s="1"/>
  <c r="S29" i="78"/>
  <c r="R38" i="78"/>
  <c r="R40" i="78" s="1"/>
  <c r="T29" i="78" l="1"/>
  <c r="S38" i="78"/>
  <c r="S40" i="78" s="1"/>
  <c r="S37" i="78"/>
  <c r="S39" i="78" s="1"/>
  <c r="T37" i="78" l="1"/>
  <c r="T39" i="78" s="1"/>
  <c r="U29" i="78"/>
  <c r="T38" i="78"/>
  <c r="T40" i="78" s="1"/>
  <c r="U37" i="78" l="1"/>
  <c r="U39" i="78" s="1"/>
  <c r="V29" i="78"/>
  <c r="U38" i="78"/>
  <c r="U40" i="78" s="1"/>
  <c r="V37" i="78" l="1"/>
  <c r="V39" i="78" s="1"/>
  <c r="W29" i="78"/>
  <c r="V38" i="78"/>
  <c r="V40" i="78" s="1"/>
  <c r="X29" i="78" l="1"/>
  <c r="W38" i="78"/>
  <c r="W40" i="78" s="1"/>
  <c r="W37" i="78"/>
  <c r="W39" i="78" s="1"/>
  <c r="Y29" i="78" l="1"/>
  <c r="X38" i="78"/>
  <c r="X40" i="78" s="1"/>
  <c r="X37" i="78"/>
  <c r="X39" i="78" s="1"/>
  <c r="Z29" i="78" l="1"/>
  <c r="Y38" i="78"/>
  <c r="Y40" i="78" s="1"/>
  <c r="Y37" i="78"/>
  <c r="Y39" i="78" s="1"/>
  <c r="Z37" i="78" l="1"/>
  <c r="Z39" i="78" s="1"/>
  <c r="AA29" i="78"/>
  <c r="Z38" i="78"/>
  <c r="Z40" i="78" s="1"/>
  <c r="AA38" i="78" l="1"/>
  <c r="AA40" i="78" s="1"/>
  <c r="G35" i="78" s="1"/>
  <c r="AA37" i="78"/>
  <c r="AA39" i="78" s="1"/>
  <c r="G34" i="78" s="1"/>
  <c r="H29" i="77"/>
  <c r="I29" i="77" s="1"/>
  <c r="J29" i="77" s="1"/>
  <c r="K29" i="77" s="1"/>
  <c r="L29" i="77" s="1"/>
  <c r="M29" i="77" s="1"/>
  <c r="N29" i="77" s="1"/>
  <c r="O29" i="77" s="1"/>
  <c r="P29" i="77" s="1"/>
  <c r="Q29" i="77" s="1"/>
  <c r="R29" i="77" s="1"/>
  <c r="S29" i="77" s="1"/>
  <c r="T29" i="77" s="1"/>
  <c r="U29" i="77" s="1"/>
  <c r="V29" i="77" s="1"/>
  <c r="W29" i="77" s="1"/>
  <c r="X29" i="77" s="1"/>
  <c r="Y29" i="77" s="1"/>
  <c r="Z29" i="77" s="1"/>
  <c r="H16" i="66" l="1"/>
  <c r="I16" i="66" l="1"/>
  <c r="J16" i="66" l="1"/>
  <c r="I7" i="12"/>
  <c r="I6" i="12"/>
  <c r="I5" i="12"/>
  <c r="I4" i="12"/>
  <c r="I3" i="12"/>
  <c r="I2" i="12"/>
  <c r="H15" i="72"/>
  <c r="I15" i="72"/>
  <c r="J15" i="72"/>
  <c r="K15" i="72"/>
  <c r="L15" i="72"/>
  <c r="M15" i="72"/>
  <c r="N15" i="72"/>
  <c r="O15" i="72"/>
  <c r="P15" i="72"/>
  <c r="Q15" i="72"/>
  <c r="R15" i="72"/>
  <c r="S15" i="72"/>
  <c r="T15" i="72"/>
  <c r="U15" i="72"/>
  <c r="V15" i="72"/>
  <c r="W15" i="72"/>
  <c r="X15" i="72"/>
  <c r="Y15" i="72"/>
  <c r="Z15" i="72"/>
  <c r="AA15" i="72"/>
  <c r="AB15" i="72"/>
  <c r="AC15" i="72"/>
  <c r="AD15" i="72"/>
  <c r="AE15" i="72"/>
  <c r="AF15" i="72"/>
  <c r="AG15" i="72"/>
  <c r="AH15" i="72"/>
  <c r="AI15" i="72"/>
  <c r="AJ15" i="72"/>
  <c r="AK15" i="72"/>
  <c r="AL15" i="72"/>
  <c r="AM15" i="72"/>
  <c r="AN15" i="72"/>
  <c r="AO15" i="72"/>
  <c r="AP15" i="72"/>
  <c r="AQ15" i="72"/>
  <c r="AR15" i="72"/>
  <c r="AS15" i="72"/>
  <c r="AT15" i="72"/>
  <c r="AU15" i="72"/>
  <c r="AV15" i="72"/>
  <c r="AW15" i="72"/>
  <c r="AX15" i="72"/>
  <c r="AY15" i="72"/>
  <c r="AZ15" i="72"/>
  <c r="BA15" i="72"/>
  <c r="BB15" i="72"/>
  <c r="BC15" i="72"/>
  <c r="BD15" i="72"/>
  <c r="BE15" i="72"/>
  <c r="BF15" i="72"/>
  <c r="BG15" i="72"/>
  <c r="BH15" i="72"/>
  <c r="BI15" i="72"/>
  <c r="BJ15" i="72"/>
  <c r="BK15" i="72"/>
  <c r="BL15" i="72"/>
  <c r="BM15" i="72"/>
  <c r="BN15" i="72"/>
  <c r="BO15" i="72"/>
  <c r="BP15" i="72"/>
  <c r="BQ15" i="72"/>
  <c r="BR15" i="72"/>
  <c r="BS15" i="72"/>
  <c r="BT15" i="72"/>
  <c r="BU15" i="72"/>
  <c r="BV15" i="72"/>
  <c r="BW15" i="72"/>
  <c r="BX15" i="72"/>
  <c r="BY15" i="72"/>
  <c r="BZ15" i="72"/>
  <c r="CA15" i="72"/>
  <c r="CB15" i="72"/>
  <c r="CC15" i="72"/>
  <c r="CD15" i="72"/>
  <c r="CE15" i="72"/>
  <c r="CF15" i="72"/>
  <c r="CG15" i="72"/>
  <c r="CH15" i="72"/>
  <c r="CI15" i="72"/>
  <c r="CJ15" i="72"/>
  <c r="CK15" i="72"/>
  <c r="CL15" i="72"/>
  <c r="G15" i="72"/>
  <c r="H14" i="72"/>
  <c r="I14" i="72"/>
  <c r="J14" i="72"/>
  <c r="K14" i="72"/>
  <c r="L14" i="72"/>
  <c r="M14" i="72"/>
  <c r="N14" i="72"/>
  <c r="O14" i="72"/>
  <c r="P14" i="72"/>
  <c r="Q14" i="72"/>
  <c r="R14" i="72"/>
  <c r="S14" i="72"/>
  <c r="T14" i="72"/>
  <c r="U14" i="72"/>
  <c r="V14" i="72"/>
  <c r="W14" i="72"/>
  <c r="X14" i="72"/>
  <c r="Y14" i="72"/>
  <c r="Z14" i="72"/>
  <c r="AA14" i="72"/>
  <c r="AB14" i="72"/>
  <c r="AC14" i="72"/>
  <c r="AD14" i="72"/>
  <c r="AE14" i="72"/>
  <c r="AF14" i="72"/>
  <c r="AG14" i="72"/>
  <c r="AH14" i="72"/>
  <c r="AI14" i="72"/>
  <c r="AJ14" i="72"/>
  <c r="AK14" i="72"/>
  <c r="AL14" i="72"/>
  <c r="AM14" i="72"/>
  <c r="AN14" i="72"/>
  <c r="AO14" i="72"/>
  <c r="AP14" i="72"/>
  <c r="AQ14" i="72"/>
  <c r="AR14" i="72"/>
  <c r="AS14" i="72"/>
  <c r="AT14" i="72"/>
  <c r="AU14" i="72"/>
  <c r="AV14" i="72"/>
  <c r="AW14" i="72"/>
  <c r="AX14" i="72"/>
  <c r="AY14" i="72"/>
  <c r="AZ14" i="72"/>
  <c r="BA14" i="72"/>
  <c r="BB14" i="72"/>
  <c r="BC14" i="72"/>
  <c r="BD14" i="72"/>
  <c r="BE14" i="72"/>
  <c r="BF14" i="72"/>
  <c r="BG14" i="72"/>
  <c r="BH14" i="72"/>
  <c r="BI14" i="72"/>
  <c r="BJ14" i="72"/>
  <c r="BK14" i="72"/>
  <c r="BL14" i="72"/>
  <c r="BM14" i="72"/>
  <c r="BN14" i="72"/>
  <c r="BO14" i="72"/>
  <c r="BP14" i="72"/>
  <c r="BQ14" i="72"/>
  <c r="BR14" i="72"/>
  <c r="BS14" i="72"/>
  <c r="BT14" i="72"/>
  <c r="BU14" i="72"/>
  <c r="BV14" i="72"/>
  <c r="BW14" i="72"/>
  <c r="BX14" i="72"/>
  <c r="BY14" i="72"/>
  <c r="BZ14" i="72"/>
  <c r="CA14" i="72"/>
  <c r="CB14" i="72"/>
  <c r="CC14" i="72"/>
  <c r="CD14" i="72"/>
  <c r="CE14" i="72"/>
  <c r="CF14" i="72"/>
  <c r="CG14" i="72"/>
  <c r="CH14" i="72"/>
  <c r="CI14" i="72"/>
  <c r="CJ14" i="72"/>
  <c r="CK14" i="72"/>
  <c r="CL14" i="72"/>
  <c r="CM14" i="72"/>
  <c r="G14" i="72"/>
  <c r="H12" i="72"/>
  <c r="I12" i="72"/>
  <c r="J12" i="72"/>
  <c r="K12" i="72"/>
  <c r="L12" i="72"/>
  <c r="M12" i="72"/>
  <c r="N12" i="72"/>
  <c r="O12" i="72"/>
  <c r="P12" i="72"/>
  <c r="Q12" i="72"/>
  <c r="R12" i="72"/>
  <c r="S12" i="72"/>
  <c r="T12" i="72"/>
  <c r="U12" i="72"/>
  <c r="V12" i="72"/>
  <c r="W12" i="72"/>
  <c r="X12" i="72"/>
  <c r="Y12" i="72"/>
  <c r="Z12" i="72"/>
  <c r="AA12" i="72"/>
  <c r="AB12" i="72"/>
  <c r="AC12" i="72"/>
  <c r="AD12" i="72"/>
  <c r="AE12" i="72"/>
  <c r="AF12" i="72"/>
  <c r="AG12" i="72"/>
  <c r="AH12" i="72"/>
  <c r="AI12" i="72"/>
  <c r="AJ12" i="72"/>
  <c r="AK12" i="72"/>
  <c r="AL12" i="72"/>
  <c r="AM12" i="72"/>
  <c r="AN12" i="72"/>
  <c r="AO12" i="72"/>
  <c r="AP12" i="72"/>
  <c r="AQ12" i="72"/>
  <c r="AR12" i="72"/>
  <c r="AS12" i="72"/>
  <c r="AT12" i="72"/>
  <c r="AU12" i="72"/>
  <c r="AV12" i="72"/>
  <c r="AW12" i="72"/>
  <c r="AX12" i="72"/>
  <c r="AY12" i="72"/>
  <c r="AZ12" i="72"/>
  <c r="BA12" i="72"/>
  <c r="BB12" i="72"/>
  <c r="BC12" i="72"/>
  <c r="BD12" i="72"/>
  <c r="BE12" i="72"/>
  <c r="BF12" i="72"/>
  <c r="BG12" i="72"/>
  <c r="BH12" i="72"/>
  <c r="BI12" i="72"/>
  <c r="BJ12" i="72"/>
  <c r="BK12" i="72"/>
  <c r="BL12" i="72"/>
  <c r="BM12" i="72"/>
  <c r="BN12" i="72"/>
  <c r="BO12" i="72"/>
  <c r="BP12" i="72"/>
  <c r="BQ12" i="72"/>
  <c r="BR12" i="72"/>
  <c r="BS12" i="72"/>
  <c r="BT12" i="72"/>
  <c r="BU12" i="72"/>
  <c r="BV12" i="72"/>
  <c r="BW12" i="72"/>
  <c r="BX12" i="72"/>
  <c r="BY12" i="72"/>
  <c r="BZ12" i="72"/>
  <c r="CA12" i="72"/>
  <c r="CB12" i="72"/>
  <c r="CC12" i="72"/>
  <c r="CD12" i="72"/>
  <c r="CE12" i="72"/>
  <c r="CF12" i="72"/>
  <c r="CG12" i="72"/>
  <c r="CH12" i="72"/>
  <c r="CI12" i="72"/>
  <c r="CJ12" i="72"/>
  <c r="CK12" i="72"/>
  <c r="CL12" i="72"/>
  <c r="G12" i="72"/>
  <c r="CL57" i="72"/>
  <c r="CK57" i="72"/>
  <c r="CJ57" i="72"/>
  <c r="CI57" i="72"/>
  <c r="CH57" i="72"/>
  <c r="CG57" i="72"/>
  <c r="CF57" i="72"/>
  <c r="CE57" i="72"/>
  <c r="CD57" i="72"/>
  <c r="CC57" i="72"/>
  <c r="CB57" i="72"/>
  <c r="CA57" i="72"/>
  <c r="BZ57" i="72"/>
  <c r="BY57" i="72"/>
  <c r="BX57" i="72"/>
  <c r="BW57" i="72"/>
  <c r="BV57" i="72"/>
  <c r="BU57" i="72"/>
  <c r="BT57" i="72"/>
  <c r="BS57" i="72"/>
  <c r="BR57" i="72"/>
  <c r="BQ57" i="72"/>
  <c r="BP57" i="72"/>
  <c r="BO57" i="72"/>
  <c r="BN57" i="72"/>
  <c r="BM57" i="72"/>
  <c r="BL57" i="72"/>
  <c r="BK57" i="72"/>
  <c r="BJ57" i="72"/>
  <c r="BI57" i="72"/>
  <c r="BH57" i="72"/>
  <c r="BG57" i="72"/>
  <c r="BF57" i="72"/>
  <c r="BE57" i="72"/>
  <c r="BD57" i="72"/>
  <c r="BC57" i="72"/>
  <c r="BB57" i="72"/>
  <c r="BA57" i="72"/>
  <c r="AZ57" i="72"/>
  <c r="AY57" i="72"/>
  <c r="AX57" i="72"/>
  <c r="AW57" i="72"/>
  <c r="AV57" i="72"/>
  <c r="AU57" i="72"/>
  <c r="AT57" i="72"/>
  <c r="AS57" i="72"/>
  <c r="AR57" i="72"/>
  <c r="AQ57" i="72"/>
  <c r="AP57" i="72"/>
  <c r="AO57" i="72"/>
  <c r="AN57" i="72"/>
  <c r="AM57" i="72"/>
  <c r="AL57" i="72"/>
  <c r="AK57" i="72"/>
  <c r="AJ57" i="72"/>
  <c r="AI57" i="72"/>
  <c r="AH57" i="72"/>
  <c r="AG57" i="72"/>
  <c r="AF57" i="72"/>
  <c r="AE57" i="72"/>
  <c r="AD57" i="72"/>
  <c r="AC57" i="72"/>
  <c r="AB57" i="72"/>
  <c r="AA57" i="72"/>
  <c r="Z57" i="72"/>
  <c r="Y57" i="72"/>
  <c r="X57" i="72"/>
  <c r="W57" i="72"/>
  <c r="V57" i="72"/>
  <c r="U57" i="72"/>
  <c r="T57" i="72"/>
  <c r="S57" i="72"/>
  <c r="CE29" i="72" l="1"/>
  <c r="BW29" i="72"/>
  <c r="BK29" i="72"/>
  <c r="AY29" i="72"/>
  <c r="AI29" i="72"/>
  <c r="W29" i="72"/>
  <c r="K29" i="72"/>
  <c r="CI31" i="72"/>
  <c r="CI25" i="72"/>
  <c r="BW31" i="72"/>
  <c r="BW25" i="72"/>
  <c r="BK31" i="72"/>
  <c r="BK25" i="72"/>
  <c r="AY31" i="72"/>
  <c r="AY25" i="72"/>
  <c r="AM31" i="72"/>
  <c r="AM25" i="72"/>
  <c r="AA31" i="72"/>
  <c r="AA25" i="72"/>
  <c r="O31" i="72"/>
  <c r="O25" i="72"/>
  <c r="CI32" i="72"/>
  <c r="CI26" i="72"/>
  <c r="BW32" i="72"/>
  <c r="BW26" i="72"/>
  <c r="BK32" i="72"/>
  <c r="BK26" i="72"/>
  <c r="AY32" i="72"/>
  <c r="AY26" i="72"/>
  <c r="AI32" i="72"/>
  <c r="AI26" i="72"/>
  <c r="W32" i="72"/>
  <c r="W26" i="72"/>
  <c r="O32" i="72"/>
  <c r="O26" i="72"/>
  <c r="CL29" i="72"/>
  <c r="CH29" i="72"/>
  <c r="CD29" i="72"/>
  <c r="BZ29" i="72"/>
  <c r="BV29" i="72"/>
  <c r="BR29" i="72"/>
  <c r="BN29" i="72"/>
  <c r="BJ29" i="72"/>
  <c r="BF29" i="72"/>
  <c r="BB29" i="72"/>
  <c r="AX29" i="72"/>
  <c r="AT29" i="72"/>
  <c r="AP29" i="72"/>
  <c r="AL29" i="72"/>
  <c r="AH29" i="72"/>
  <c r="AD29" i="72"/>
  <c r="Z29" i="72"/>
  <c r="V29" i="72"/>
  <c r="R29" i="72"/>
  <c r="N29" i="72"/>
  <c r="J29" i="72"/>
  <c r="CL31" i="72"/>
  <c r="CL25" i="72"/>
  <c r="CH31" i="72"/>
  <c r="CH25" i="72"/>
  <c r="CD31" i="72"/>
  <c r="CD25" i="72"/>
  <c r="BZ31" i="72"/>
  <c r="BZ25" i="72"/>
  <c r="BV31" i="72"/>
  <c r="BV25" i="72"/>
  <c r="BR31" i="72"/>
  <c r="BR25" i="72"/>
  <c r="BN31" i="72"/>
  <c r="BN25" i="72"/>
  <c r="BJ31" i="72"/>
  <c r="BJ25" i="72"/>
  <c r="BF31" i="72"/>
  <c r="BF25" i="72"/>
  <c r="BB25" i="72"/>
  <c r="BB31" i="72"/>
  <c r="AX31" i="72"/>
  <c r="AX25" i="72"/>
  <c r="AT31" i="72"/>
  <c r="AT25" i="72"/>
  <c r="AP31" i="72"/>
  <c r="AP25" i="72"/>
  <c r="AL31" i="72"/>
  <c r="AL25" i="72"/>
  <c r="AH31" i="72"/>
  <c r="AH25" i="72"/>
  <c r="AD31" i="72"/>
  <c r="AD25" i="72"/>
  <c r="Z31" i="72"/>
  <c r="Z25" i="72"/>
  <c r="V31" i="72"/>
  <c r="V25" i="72"/>
  <c r="R31" i="72"/>
  <c r="R25" i="72"/>
  <c r="N25" i="72"/>
  <c r="N31" i="72"/>
  <c r="J31" i="72"/>
  <c r="J25" i="72"/>
  <c r="CL32" i="72"/>
  <c r="CL26" i="72"/>
  <c r="CH32" i="72"/>
  <c r="CH26" i="72"/>
  <c r="CD32" i="72"/>
  <c r="CD26" i="72"/>
  <c r="BZ32" i="72"/>
  <c r="BZ26" i="72"/>
  <c r="BV32" i="72"/>
  <c r="BV26" i="72"/>
  <c r="BR32" i="72"/>
  <c r="BR26" i="72"/>
  <c r="BN32" i="72"/>
  <c r="BN26" i="72"/>
  <c r="BJ32" i="72"/>
  <c r="BJ26" i="72"/>
  <c r="BF32" i="72"/>
  <c r="BF26" i="72"/>
  <c r="BB32" i="72"/>
  <c r="BB26" i="72"/>
  <c r="AX32" i="72"/>
  <c r="AX26" i="72"/>
  <c r="AT32" i="72"/>
  <c r="AT26" i="72"/>
  <c r="AP32" i="72"/>
  <c r="AP26" i="72"/>
  <c r="AL32" i="72"/>
  <c r="AL26" i="72"/>
  <c r="AH32" i="72"/>
  <c r="AH26" i="72"/>
  <c r="AD32" i="72"/>
  <c r="AD26" i="72"/>
  <c r="Z32" i="72"/>
  <c r="Z26" i="72"/>
  <c r="V32" i="72"/>
  <c r="V26" i="72"/>
  <c r="R32" i="72"/>
  <c r="R26" i="72"/>
  <c r="N32" i="72"/>
  <c r="N26" i="72"/>
  <c r="J32" i="72"/>
  <c r="J26" i="72"/>
  <c r="CI29" i="72"/>
  <c r="BO29" i="72"/>
  <c r="BC29" i="72"/>
  <c r="AQ29" i="72"/>
  <c r="AE29" i="72"/>
  <c r="S29" i="72"/>
  <c r="CM31" i="72"/>
  <c r="CM25" i="72"/>
  <c r="CA31" i="72"/>
  <c r="CA25" i="72"/>
  <c r="BO31" i="72"/>
  <c r="BO25" i="72"/>
  <c r="BC31" i="72"/>
  <c r="BC25" i="72"/>
  <c r="AQ31" i="72"/>
  <c r="AQ25" i="72"/>
  <c r="AE31" i="72"/>
  <c r="AE25" i="72"/>
  <c r="S31" i="72"/>
  <c r="S25" i="72"/>
  <c r="G32" i="72"/>
  <c r="G26" i="72"/>
  <c r="CA32" i="72"/>
  <c r="CA26" i="72"/>
  <c r="BO32" i="72"/>
  <c r="BO26" i="72"/>
  <c r="BC32" i="72"/>
  <c r="BC26" i="72"/>
  <c r="AQ32" i="72"/>
  <c r="AQ26" i="72"/>
  <c r="AE32" i="72"/>
  <c r="AE26" i="72"/>
  <c r="K32" i="72"/>
  <c r="K26" i="72"/>
  <c r="CK29" i="72"/>
  <c r="CG29" i="72"/>
  <c r="CC29" i="72"/>
  <c r="BY29" i="72"/>
  <c r="BU29" i="72"/>
  <c r="BQ29" i="72"/>
  <c r="BM29" i="72"/>
  <c r="BI29" i="72"/>
  <c r="BE29" i="72"/>
  <c r="BA29" i="72"/>
  <c r="AW29" i="72"/>
  <c r="AS29" i="72"/>
  <c r="AO29" i="72"/>
  <c r="AK29" i="72"/>
  <c r="AG29" i="72"/>
  <c r="AC29" i="72"/>
  <c r="Y29" i="72"/>
  <c r="U29" i="72"/>
  <c r="Q29" i="72"/>
  <c r="M29" i="72"/>
  <c r="I29" i="72"/>
  <c r="CK31" i="72"/>
  <c r="CK25" i="72"/>
  <c r="CG31" i="72"/>
  <c r="CG25" i="72"/>
  <c r="CC31" i="72"/>
  <c r="CC25" i="72"/>
  <c r="BY31" i="72"/>
  <c r="BY25" i="72"/>
  <c r="BU31" i="72"/>
  <c r="BU25" i="72"/>
  <c r="BQ31" i="72"/>
  <c r="BQ25" i="72"/>
  <c r="BM31" i="72"/>
  <c r="BM25" i="72"/>
  <c r="BI31" i="72"/>
  <c r="BI25" i="72"/>
  <c r="BE31" i="72"/>
  <c r="BE25" i="72"/>
  <c r="BA31" i="72"/>
  <c r="BA25" i="72"/>
  <c r="AW31" i="72"/>
  <c r="AW25" i="72"/>
  <c r="AS31" i="72"/>
  <c r="AS25" i="72"/>
  <c r="AO31" i="72"/>
  <c r="AO25" i="72"/>
  <c r="AK31" i="72"/>
  <c r="AK25" i="72"/>
  <c r="AG31" i="72"/>
  <c r="AG25" i="72"/>
  <c r="AC31" i="72"/>
  <c r="AC25" i="72"/>
  <c r="Y31" i="72"/>
  <c r="Y25" i="72"/>
  <c r="U31" i="72"/>
  <c r="U25" i="72"/>
  <c r="Q31" i="72"/>
  <c r="Q25" i="72"/>
  <c r="M31" i="72"/>
  <c r="M25" i="72"/>
  <c r="I31" i="72"/>
  <c r="I25" i="72"/>
  <c r="CK32" i="72"/>
  <c r="CK26" i="72"/>
  <c r="CG32" i="72"/>
  <c r="CG26" i="72"/>
  <c r="CC32" i="72"/>
  <c r="CC26" i="72"/>
  <c r="BY32" i="72"/>
  <c r="BY26" i="72"/>
  <c r="BU32" i="72"/>
  <c r="BU26" i="72"/>
  <c r="BQ32" i="72"/>
  <c r="BQ26" i="72"/>
  <c r="BM32" i="72"/>
  <c r="BM26" i="72"/>
  <c r="BI32" i="72"/>
  <c r="BI26" i="72"/>
  <c r="BE32" i="72"/>
  <c r="BE26" i="72"/>
  <c r="BA32" i="72"/>
  <c r="BA26" i="72"/>
  <c r="AW32" i="72"/>
  <c r="AW26" i="72"/>
  <c r="AS32" i="72"/>
  <c r="AS26" i="72"/>
  <c r="AO32" i="72"/>
  <c r="AO26" i="72"/>
  <c r="AK32" i="72"/>
  <c r="AK26" i="72"/>
  <c r="AG32" i="72"/>
  <c r="AG26" i="72"/>
  <c r="AC32" i="72"/>
  <c r="AC26" i="72"/>
  <c r="Y32" i="72"/>
  <c r="Y26" i="72"/>
  <c r="U32" i="72"/>
  <c r="U26" i="72"/>
  <c r="Q32" i="72"/>
  <c r="Q26" i="72"/>
  <c r="M32" i="72"/>
  <c r="M26" i="72"/>
  <c r="I32" i="72"/>
  <c r="I26" i="72"/>
  <c r="G29" i="72"/>
  <c r="CA29" i="72"/>
  <c r="BS29" i="72"/>
  <c r="BG29" i="72"/>
  <c r="AU29" i="72"/>
  <c r="AM29" i="72"/>
  <c r="AA29" i="72"/>
  <c r="O29" i="72"/>
  <c r="CE31" i="72"/>
  <c r="CE25" i="72"/>
  <c r="BS31" i="72"/>
  <c r="BS25" i="72"/>
  <c r="BG31" i="72"/>
  <c r="BG25" i="72"/>
  <c r="AU31" i="72"/>
  <c r="AU25" i="72"/>
  <c r="AI31" i="72"/>
  <c r="AI25" i="72"/>
  <c r="W31" i="72"/>
  <c r="W25" i="72"/>
  <c r="K31" i="72"/>
  <c r="K25" i="72"/>
  <c r="CE32" i="72"/>
  <c r="CE26" i="72"/>
  <c r="BS32" i="72"/>
  <c r="BS26" i="72"/>
  <c r="BG32" i="72"/>
  <c r="BG26" i="72"/>
  <c r="AU32" i="72"/>
  <c r="AU26" i="72"/>
  <c r="AM32" i="72"/>
  <c r="AM26" i="72"/>
  <c r="AA32" i="72"/>
  <c r="AA26" i="72"/>
  <c r="S32" i="72"/>
  <c r="S26" i="72"/>
  <c r="CJ29" i="72"/>
  <c r="CF29" i="72"/>
  <c r="CB29" i="72"/>
  <c r="BX29" i="72"/>
  <c r="BT29" i="72"/>
  <c r="BP29" i="72"/>
  <c r="BL29" i="72"/>
  <c r="BH29" i="72"/>
  <c r="BD29" i="72"/>
  <c r="AZ29" i="72"/>
  <c r="AV29" i="72"/>
  <c r="AR29" i="72"/>
  <c r="AN29" i="72"/>
  <c r="AJ29" i="72"/>
  <c r="AF29" i="72"/>
  <c r="AB29" i="72"/>
  <c r="X29" i="72"/>
  <c r="T29" i="72"/>
  <c r="P29" i="72"/>
  <c r="L29" i="72"/>
  <c r="H29" i="72"/>
  <c r="G31" i="72"/>
  <c r="G25" i="72"/>
  <c r="CJ31" i="72"/>
  <c r="CJ25" i="72"/>
  <c r="CF25" i="72"/>
  <c r="CF31" i="72"/>
  <c r="CB31" i="72"/>
  <c r="CB25" i="72"/>
  <c r="BX31" i="72"/>
  <c r="BX25" i="72"/>
  <c r="BT31" i="72"/>
  <c r="BT25" i="72"/>
  <c r="BP25" i="72"/>
  <c r="BP31" i="72"/>
  <c r="BL25" i="72"/>
  <c r="BL31" i="72"/>
  <c r="BH25" i="72"/>
  <c r="BH31" i="72"/>
  <c r="BD31" i="72"/>
  <c r="BD25" i="72"/>
  <c r="AZ31" i="72"/>
  <c r="AZ25" i="72"/>
  <c r="AV31" i="72"/>
  <c r="AV25" i="72"/>
  <c r="AR31" i="72"/>
  <c r="AR25" i="72"/>
  <c r="AN31" i="72"/>
  <c r="AN25" i="72"/>
  <c r="AJ31" i="72"/>
  <c r="AJ25" i="72"/>
  <c r="AF31" i="72"/>
  <c r="AF25" i="72"/>
  <c r="AB31" i="72"/>
  <c r="AB25" i="72"/>
  <c r="X31" i="72"/>
  <c r="X25" i="72"/>
  <c r="T31" i="72"/>
  <c r="T25" i="72"/>
  <c r="P31" i="72"/>
  <c r="P25" i="72"/>
  <c r="L31" i="72"/>
  <c r="L25" i="72"/>
  <c r="H31" i="72"/>
  <c r="H25" i="72"/>
  <c r="CJ32" i="72"/>
  <c r="CJ26" i="72"/>
  <c r="CF26" i="72"/>
  <c r="CF32" i="72"/>
  <c r="CB32" i="72"/>
  <c r="CB26" i="72"/>
  <c r="BX26" i="72"/>
  <c r="BX32" i="72"/>
  <c r="BT32" i="72"/>
  <c r="BT26" i="72"/>
  <c r="BP32" i="72"/>
  <c r="BP26" i="72"/>
  <c r="BL26" i="72"/>
  <c r="BL32" i="72"/>
  <c r="BH32" i="72"/>
  <c r="BH26" i="72"/>
  <c r="BD32" i="72"/>
  <c r="BD26" i="72"/>
  <c r="AZ26" i="72"/>
  <c r="AZ32" i="72"/>
  <c r="AV32" i="72"/>
  <c r="AV26" i="72"/>
  <c r="AR32" i="72"/>
  <c r="AR26" i="72"/>
  <c r="AN32" i="72"/>
  <c r="AN26" i="72"/>
  <c r="AJ32" i="72"/>
  <c r="AJ26" i="72"/>
  <c r="AF26" i="72"/>
  <c r="AF32" i="72"/>
  <c r="AB26" i="72"/>
  <c r="AB32" i="72"/>
  <c r="X32" i="72"/>
  <c r="X26" i="72"/>
  <c r="T26" i="72"/>
  <c r="T32" i="72"/>
  <c r="P26" i="72"/>
  <c r="P32" i="72"/>
  <c r="L32" i="72"/>
  <c r="L26" i="72"/>
  <c r="H32" i="72"/>
  <c r="H26" i="72"/>
  <c r="K16" i="66"/>
  <c r="I8" i="12"/>
  <c r="CM74" i="72"/>
  <c r="B32" i="86" s="1"/>
  <c r="C32" i="86" s="1"/>
  <c r="CM73" i="72"/>
  <c r="B22" i="86" s="1"/>
  <c r="C22" i="86" s="1"/>
  <c r="CM72" i="72"/>
  <c r="B12" i="86" s="1"/>
  <c r="CM57" i="72"/>
  <c r="CM56" i="72"/>
  <c r="CA49" i="72"/>
  <c r="BW46" i="72"/>
  <c r="FU41" i="72"/>
  <c r="FT41" i="72"/>
  <c r="FS41" i="72"/>
  <c r="FR41" i="72"/>
  <c r="FQ41" i="72"/>
  <c r="FP41" i="72"/>
  <c r="FO41" i="72"/>
  <c r="FN41" i="72"/>
  <c r="FM41" i="72"/>
  <c r="FL41" i="72"/>
  <c r="FK41" i="72"/>
  <c r="FJ41" i="72"/>
  <c r="FI41" i="72"/>
  <c r="FH41" i="72"/>
  <c r="FG41" i="72"/>
  <c r="FF41" i="72"/>
  <c r="FE41" i="72"/>
  <c r="FD41" i="72"/>
  <c r="FC41" i="72"/>
  <c r="FB41" i="72"/>
  <c r="FA41" i="72"/>
  <c r="EZ41" i="72"/>
  <c r="EY41" i="72"/>
  <c r="EX41" i="72"/>
  <c r="EW41" i="72"/>
  <c r="EV41" i="72"/>
  <c r="EU41" i="72"/>
  <c r="ET41" i="72"/>
  <c r="ES41" i="72"/>
  <c r="ER41" i="72"/>
  <c r="EQ41" i="72"/>
  <c r="EP41" i="72"/>
  <c r="EO41" i="72"/>
  <c r="EN41" i="72"/>
  <c r="EM41" i="72"/>
  <c r="EL41" i="72"/>
  <c r="EK41" i="72"/>
  <c r="EJ41" i="72"/>
  <c r="EI41" i="72"/>
  <c r="EH41" i="72"/>
  <c r="EG41" i="72"/>
  <c r="EF41" i="72"/>
  <c r="EE41" i="72"/>
  <c r="ED41" i="72"/>
  <c r="EC41" i="72"/>
  <c r="EB41" i="72"/>
  <c r="EA41" i="72"/>
  <c r="DZ41" i="72"/>
  <c r="DY41" i="72"/>
  <c r="DX41" i="72"/>
  <c r="DW41" i="72"/>
  <c r="DV41" i="72"/>
  <c r="DU41" i="72"/>
  <c r="DT41" i="72"/>
  <c r="DS41" i="72"/>
  <c r="DR41" i="72"/>
  <c r="DQ41" i="72"/>
  <c r="DP41" i="72"/>
  <c r="DO41" i="72"/>
  <c r="DN41" i="72"/>
  <c r="DM41" i="72"/>
  <c r="DL41" i="72"/>
  <c r="DK41" i="72"/>
  <c r="DJ41" i="72"/>
  <c r="DI41" i="72"/>
  <c r="DH41" i="72"/>
  <c r="DG41" i="72"/>
  <c r="DF41" i="72"/>
  <c r="DE41" i="72"/>
  <c r="DD41" i="72"/>
  <c r="DC41" i="72"/>
  <c r="DB41" i="72"/>
  <c r="DA41" i="72"/>
  <c r="CZ41" i="72"/>
  <c r="CY41" i="72"/>
  <c r="CX41" i="72"/>
  <c r="CW41" i="72"/>
  <c r="CV41" i="72"/>
  <c r="CU41" i="72"/>
  <c r="CT41" i="72"/>
  <c r="CS41" i="72"/>
  <c r="CR41" i="72"/>
  <c r="CQ41" i="72"/>
  <c r="CP41" i="72"/>
  <c r="CO41" i="72"/>
  <c r="FV40" i="72"/>
  <c r="FV39" i="72"/>
  <c r="FV38" i="72"/>
  <c r="FV37" i="72"/>
  <c r="FV36" i="72"/>
  <c r="FV35" i="72"/>
  <c r="FV34" i="72"/>
  <c r="D33" i="72"/>
  <c r="F22" i="72"/>
  <c r="F21" i="72"/>
  <c r="F20" i="72"/>
  <c r="F19" i="72"/>
  <c r="F18" i="72"/>
  <c r="CK49" i="72"/>
  <c r="CG49" i="72"/>
  <c r="CC49" i="72"/>
  <c r="BY49" i="72"/>
  <c r="BU49" i="72"/>
  <c r="BQ49" i="72"/>
  <c r="BM49" i="72"/>
  <c r="BI49" i="72"/>
  <c r="BE49" i="72"/>
  <c r="BA49" i="72"/>
  <c r="AW49" i="72"/>
  <c r="AS49" i="72"/>
  <c r="AO49" i="72"/>
  <c r="AK49" i="72"/>
  <c r="AG49" i="72"/>
  <c r="AC49" i="72"/>
  <c r="Y49" i="72"/>
  <c r="U49" i="72"/>
  <c r="S49" i="72"/>
  <c r="R49" i="72"/>
  <c r="Q49" i="72"/>
  <c r="P49" i="72"/>
  <c r="O49" i="72"/>
  <c r="N49" i="72"/>
  <c r="M49" i="72"/>
  <c r="L49" i="72"/>
  <c r="K49" i="72"/>
  <c r="J49" i="72"/>
  <c r="I49" i="72"/>
  <c r="H49" i="72"/>
  <c r="G49" i="72"/>
  <c r="CK48" i="72"/>
  <c r="CG48" i="72"/>
  <c r="CC48" i="72"/>
  <c r="BY48" i="72"/>
  <c r="BW48" i="72"/>
  <c r="BU48" i="72"/>
  <c r="BQ48" i="72"/>
  <c r="BM48" i="72"/>
  <c r="BI48" i="72"/>
  <c r="BE48" i="72"/>
  <c r="BA48" i="72"/>
  <c r="AW48" i="72"/>
  <c r="AS48" i="72"/>
  <c r="AO48" i="72"/>
  <c r="AK48" i="72"/>
  <c r="AG48" i="72"/>
  <c r="AC48" i="72"/>
  <c r="Y48" i="72"/>
  <c r="U48" i="72"/>
  <c r="S48" i="72"/>
  <c r="R48" i="72"/>
  <c r="Q48" i="72"/>
  <c r="P48" i="72"/>
  <c r="O48" i="72"/>
  <c r="N48" i="72"/>
  <c r="M48" i="72"/>
  <c r="L48" i="72"/>
  <c r="J48" i="72"/>
  <c r="I48" i="72"/>
  <c r="H48" i="72"/>
  <c r="G48" i="72"/>
  <c r="CB46" i="72"/>
  <c r="BX46" i="72"/>
  <c r="BT46" i="72"/>
  <c r="BP46" i="72"/>
  <c r="BL46" i="72"/>
  <c r="BH46" i="72"/>
  <c r="BD46" i="72"/>
  <c r="AZ46" i="72"/>
  <c r="AV46" i="72"/>
  <c r="AR46" i="72"/>
  <c r="AN46" i="72"/>
  <c r="AK46" i="72"/>
  <c r="AJ46" i="72"/>
  <c r="AG46" i="72"/>
  <c r="AC46" i="72"/>
  <c r="AB46" i="72"/>
  <c r="Y46" i="72"/>
  <c r="X46" i="72"/>
  <c r="U46" i="72"/>
  <c r="T46" i="72"/>
  <c r="S46" i="72"/>
  <c r="R46" i="72"/>
  <c r="Q46" i="72"/>
  <c r="P46" i="72"/>
  <c r="O46" i="72"/>
  <c r="N46" i="72"/>
  <c r="M46" i="72"/>
  <c r="L46" i="72"/>
  <c r="J46" i="72"/>
  <c r="I46" i="72"/>
  <c r="H46" i="72"/>
  <c r="G46" i="72"/>
  <c r="CM6" i="72"/>
  <c r="CM5" i="72"/>
  <c r="CM4" i="72"/>
  <c r="CM3" i="72"/>
  <c r="CM2" i="72"/>
  <c r="J8" i="17"/>
  <c r="H27" i="39"/>
  <c r="C12" i="86" l="1"/>
  <c r="C42" i="86" s="1"/>
  <c r="D43" i="86" s="1"/>
  <c r="C8" i="51"/>
  <c r="C4" i="51"/>
  <c r="L16" i="66"/>
  <c r="H15" i="39"/>
  <c r="I15" i="94"/>
  <c r="AS46" i="72"/>
  <c r="BI46" i="72"/>
  <c r="BQ46" i="72"/>
  <c r="CC46" i="72"/>
  <c r="CK46" i="72"/>
  <c r="AE48" i="72"/>
  <c r="AQ48" i="72"/>
  <c r="AY48" i="72"/>
  <c r="BO48" i="72"/>
  <c r="CA48" i="72"/>
  <c r="CI48" i="72"/>
  <c r="Z49" i="72"/>
  <c r="AH49" i="72"/>
  <c r="AT49" i="72"/>
  <c r="BJ49" i="72"/>
  <c r="BV49" i="72"/>
  <c r="CL49" i="72"/>
  <c r="V46" i="72"/>
  <c r="Z46" i="72"/>
  <c r="AD46" i="72"/>
  <c r="AH46" i="72"/>
  <c r="AL46" i="72"/>
  <c r="AP46" i="72"/>
  <c r="AT46" i="72"/>
  <c r="AX46" i="72"/>
  <c r="BB46" i="72"/>
  <c r="BF46" i="72"/>
  <c r="BJ46" i="72"/>
  <c r="BN46" i="72"/>
  <c r="BR46" i="72"/>
  <c r="BV46" i="72"/>
  <c r="BZ46" i="72"/>
  <c r="CD46" i="72"/>
  <c r="CH46" i="72"/>
  <c r="CL46" i="72"/>
  <c r="T48" i="72"/>
  <c r="X48" i="72"/>
  <c r="AB48" i="72"/>
  <c r="AF48" i="72"/>
  <c r="AJ48" i="72"/>
  <c r="AN48" i="72"/>
  <c r="AR48" i="72"/>
  <c r="AV48" i="72"/>
  <c r="AZ48" i="72"/>
  <c r="BD48" i="72"/>
  <c r="BH48" i="72"/>
  <c r="BL48" i="72"/>
  <c r="BP48" i="72"/>
  <c r="BT48" i="72"/>
  <c r="BX48" i="72"/>
  <c r="CB48" i="72"/>
  <c r="CF48" i="72"/>
  <c r="CJ48" i="72"/>
  <c r="W49" i="72"/>
  <c r="AA49" i="72"/>
  <c r="AE49" i="72"/>
  <c r="AI49" i="72"/>
  <c r="AM49" i="72"/>
  <c r="AQ49" i="72"/>
  <c r="AU49" i="72"/>
  <c r="AY49" i="72"/>
  <c r="BC49" i="72"/>
  <c r="BG49" i="72"/>
  <c r="BK49" i="72"/>
  <c r="BO49" i="72"/>
  <c r="BS49" i="72"/>
  <c r="BW49" i="72"/>
  <c r="CE49" i="72"/>
  <c r="CI49" i="72"/>
  <c r="CM15" i="72"/>
  <c r="K46" i="72"/>
  <c r="K48" i="72"/>
  <c r="AO46" i="72"/>
  <c r="AW46" i="72"/>
  <c r="BE46" i="72"/>
  <c r="BM46" i="72"/>
  <c r="BY46" i="72"/>
  <c r="CG46" i="72"/>
  <c r="W48" i="72"/>
  <c r="AI48" i="72"/>
  <c r="AU48" i="72"/>
  <c r="BC48" i="72"/>
  <c r="BK48" i="72"/>
  <c r="CE48" i="72"/>
  <c r="V49" i="72"/>
  <c r="AD49" i="72"/>
  <c r="AP49" i="72"/>
  <c r="BF49" i="72"/>
  <c r="BN49" i="72"/>
  <c r="BZ49" i="72"/>
  <c r="CH49" i="72"/>
  <c r="W46" i="72"/>
  <c r="AA46" i="72"/>
  <c r="AE46" i="72"/>
  <c r="AI46" i="72"/>
  <c r="AM46" i="72"/>
  <c r="AQ46" i="72"/>
  <c r="AU46" i="72"/>
  <c r="AY46" i="72"/>
  <c r="BC46" i="72"/>
  <c r="BG46" i="72"/>
  <c r="BK46" i="72"/>
  <c r="BO46" i="72"/>
  <c r="BS46" i="72"/>
  <c r="CA46" i="72"/>
  <c r="CE46" i="72"/>
  <c r="CI46" i="72"/>
  <c r="CM12" i="72"/>
  <c r="CM29" i="72" s="1"/>
  <c r="T49" i="72"/>
  <c r="X49" i="72"/>
  <c r="AB49" i="72"/>
  <c r="AF49" i="72"/>
  <c r="AJ49" i="72"/>
  <c r="AN49" i="72"/>
  <c r="AR49" i="72"/>
  <c r="AV49" i="72"/>
  <c r="AZ49" i="72"/>
  <c r="BD49" i="72"/>
  <c r="BH49" i="72"/>
  <c r="BL49" i="72"/>
  <c r="BP49" i="72"/>
  <c r="BT49" i="72"/>
  <c r="BX49" i="72"/>
  <c r="CB49" i="72"/>
  <c r="CF49" i="72"/>
  <c r="CJ49" i="72"/>
  <c r="AF46" i="72"/>
  <c r="BU46" i="72"/>
  <c r="AA48" i="72"/>
  <c r="AM48" i="72"/>
  <c r="BG48" i="72"/>
  <c r="BS48" i="72"/>
  <c r="AL49" i="72"/>
  <c r="AX49" i="72"/>
  <c r="BR49" i="72"/>
  <c r="CD49" i="72"/>
  <c r="CF46" i="72"/>
  <c r="CJ46" i="72"/>
  <c r="V48" i="72"/>
  <c r="Z48" i="72"/>
  <c r="AD48" i="72"/>
  <c r="AH48" i="72"/>
  <c r="AL48" i="72"/>
  <c r="AP48" i="72"/>
  <c r="AT48" i="72"/>
  <c r="AX48" i="72"/>
  <c r="BF48" i="72"/>
  <c r="BJ48" i="72"/>
  <c r="BN48" i="72"/>
  <c r="BR48" i="72"/>
  <c r="BV48" i="72"/>
  <c r="BZ48" i="72"/>
  <c r="CD48" i="72"/>
  <c r="CH48" i="72"/>
  <c r="CL48" i="72"/>
  <c r="BA46" i="72"/>
  <c r="BB48" i="72"/>
  <c r="BB49" i="72"/>
  <c r="FV41" i="72"/>
  <c r="P15" i="105" l="1"/>
  <c r="X15" i="105"/>
  <c r="T15" i="105"/>
  <c r="U15" i="105"/>
  <c r="I15" i="105"/>
  <c r="Q15" i="105"/>
  <c r="Y15" i="105"/>
  <c r="V15" i="105"/>
  <c r="J15" i="105"/>
  <c r="R15" i="105"/>
  <c r="Z15" i="105"/>
  <c r="M15" i="105"/>
  <c r="N15" i="105"/>
  <c r="O15" i="105"/>
  <c r="K15" i="105"/>
  <c r="S15" i="105"/>
  <c r="H15" i="105"/>
  <c r="L15" i="105"/>
  <c r="W15" i="105"/>
  <c r="B8" i="56"/>
  <c r="B8" i="91"/>
  <c r="CM32" i="72"/>
  <c r="CM26" i="72"/>
  <c r="M16" i="66"/>
  <c r="J15" i="94"/>
  <c r="I15" i="39"/>
  <c r="C8" i="56" s="1"/>
  <c r="CM49" i="72"/>
  <c r="CM46" i="72"/>
  <c r="CM48" i="72"/>
  <c r="I14" i="80" l="1"/>
  <c r="H14" i="80"/>
  <c r="N16" i="66"/>
  <c r="J15" i="39"/>
  <c r="D8" i="56" s="1"/>
  <c r="K15" i="94"/>
  <c r="J14" i="80" l="1"/>
  <c r="O16" i="66"/>
  <c r="K15" i="39"/>
  <c r="L15" i="94"/>
  <c r="I18" i="66"/>
  <c r="M18" i="66"/>
  <c r="Q18" i="66"/>
  <c r="U18" i="66"/>
  <c r="Y18" i="66"/>
  <c r="J18" i="66"/>
  <c r="N18" i="66"/>
  <c r="R18" i="66"/>
  <c r="V18" i="66"/>
  <c r="Z18" i="66"/>
  <c r="K18" i="66"/>
  <c r="E6" i="57" s="1"/>
  <c r="C6" i="74" s="1"/>
  <c r="E6" i="74" s="1"/>
  <c r="F6" i="74" s="1"/>
  <c r="G6" i="74" s="1"/>
  <c r="H6" i="74" s="1"/>
  <c r="O18" i="66"/>
  <c r="S18" i="66"/>
  <c r="W18" i="66"/>
  <c r="H18" i="66"/>
  <c r="L18" i="66"/>
  <c r="P18" i="66"/>
  <c r="T18" i="66"/>
  <c r="X18" i="66"/>
  <c r="E8" i="56" l="1"/>
  <c r="G8" i="81"/>
  <c r="E8" i="81"/>
  <c r="C8" i="81"/>
  <c r="F8" i="81"/>
  <c r="D8" i="81"/>
  <c r="K14" i="80"/>
  <c r="L15" i="39"/>
  <c r="F8" i="56" s="1"/>
  <c r="M15" i="94"/>
  <c r="P16" i="66"/>
  <c r="H16" i="52"/>
  <c r="H17" i="52" s="1"/>
  <c r="K16" i="52"/>
  <c r="K17" i="52" s="1"/>
  <c r="J16" i="52"/>
  <c r="J17" i="52" s="1"/>
  <c r="I16" i="52"/>
  <c r="I17" i="52" s="1"/>
  <c r="E16" i="52"/>
  <c r="E17" i="52" s="1"/>
  <c r="D16" i="52"/>
  <c r="D17" i="52" s="1"/>
  <c r="C16" i="52"/>
  <c r="C17" i="52" s="1"/>
  <c r="B16" i="52"/>
  <c r="B17" i="52" s="1"/>
  <c r="L14" i="80" l="1"/>
  <c r="N15" i="94"/>
  <c r="M15" i="39"/>
  <c r="G8" i="56" s="1"/>
  <c r="Q16" i="66"/>
  <c r="K13" i="17"/>
  <c r="Q10" i="17"/>
  <c r="M14" i="80" l="1"/>
  <c r="R16" i="66"/>
  <c r="O15" i="94"/>
  <c r="N15" i="39"/>
  <c r="H8" i="56" s="1"/>
  <c r="Q14" i="17"/>
  <c r="E8" i="51"/>
  <c r="H28" i="66"/>
  <c r="I28" i="66" s="1"/>
  <c r="J28" i="66" s="1"/>
  <c r="K28" i="66" s="1"/>
  <c r="L28" i="66" s="1"/>
  <c r="M28" i="66" s="1"/>
  <c r="N28" i="66" s="1"/>
  <c r="O28" i="66" s="1"/>
  <c r="P28" i="66" s="1"/>
  <c r="Q28" i="66" s="1"/>
  <c r="R28" i="66" s="1"/>
  <c r="S28" i="66" s="1"/>
  <c r="T28" i="66" s="1"/>
  <c r="U28" i="66" s="1"/>
  <c r="V28" i="66" s="1"/>
  <c r="W28" i="66" s="1"/>
  <c r="X28" i="66" s="1"/>
  <c r="Y28" i="66" s="1"/>
  <c r="Z28" i="66" s="1"/>
  <c r="D39" i="16"/>
  <c r="C46" i="16" s="1"/>
  <c r="F24" i="16"/>
  <c r="N14" i="80" l="1"/>
  <c r="P15" i="94"/>
  <c r="O15" i="39"/>
  <c r="I8" i="56" s="1"/>
  <c r="S16" i="66"/>
  <c r="H39" i="16"/>
  <c r="H5" i="16" s="1"/>
  <c r="Q11" i="17"/>
  <c r="Q9" i="17"/>
  <c r="O14" i="80" l="1"/>
  <c r="Q15" i="94"/>
  <c r="P15" i="39"/>
  <c r="J8" i="56" s="1"/>
  <c r="T16" i="66"/>
  <c r="P14" i="80" l="1"/>
  <c r="U16" i="66"/>
  <c r="R15" i="94"/>
  <c r="Q15" i="39"/>
  <c r="K8" i="56" s="1"/>
  <c r="P8" i="17"/>
  <c r="Q8" i="17" s="1"/>
  <c r="Q12" i="17" s="1"/>
  <c r="B9" i="60"/>
  <c r="B5" i="59"/>
  <c r="B11" i="58" l="1"/>
  <c r="Q14" i="80"/>
  <c r="S15" i="94"/>
  <c r="R15" i="39"/>
  <c r="V16" i="66"/>
  <c r="Q16" i="17"/>
  <c r="H7" i="16"/>
  <c r="D5" i="16"/>
  <c r="H13" i="16"/>
  <c r="H15" i="16"/>
  <c r="H16" i="16"/>
  <c r="H14" i="16"/>
  <c r="H10" i="16"/>
  <c r="H8" i="16"/>
  <c r="H6" i="16"/>
  <c r="H9" i="16"/>
  <c r="G5" i="47"/>
  <c r="G7" i="47"/>
  <c r="G4" i="47"/>
  <c r="R14" i="80" l="1"/>
  <c r="T15" i="94"/>
  <c r="S15" i="39"/>
  <c r="W16" i="66"/>
  <c r="H19" i="16"/>
  <c r="H18" i="16" s="1"/>
  <c r="H11" i="16"/>
  <c r="H4" i="16" s="1"/>
  <c r="H17" i="16"/>
  <c r="H12" i="16" s="1"/>
  <c r="D14" i="16"/>
  <c r="D13" i="16"/>
  <c r="D9" i="16"/>
  <c r="D16" i="16"/>
  <c r="D7" i="16"/>
  <c r="D6" i="16"/>
  <c r="D19" i="16"/>
  <c r="D15" i="16"/>
  <c r="D11" i="16"/>
  <c r="D10" i="16"/>
  <c r="D17" i="16"/>
  <c r="D8" i="16"/>
  <c r="S14" i="80" l="1"/>
  <c r="X16" i="66"/>
  <c r="U15" i="94"/>
  <c r="T15" i="39"/>
  <c r="H3" i="16"/>
  <c r="D12" i="16"/>
  <c r="T14" i="80" l="1"/>
  <c r="Y16" i="66"/>
  <c r="V15" i="94"/>
  <c r="U15" i="39"/>
  <c r="H21" i="16"/>
  <c r="C5" i="59" s="1"/>
  <c r="C4" i="59" s="1"/>
  <c r="B5" i="60" s="1"/>
  <c r="U14" i="80" l="1"/>
  <c r="W15" i="94"/>
  <c r="V15" i="39"/>
  <c r="Z16" i="66"/>
  <c r="Q19" i="17"/>
  <c r="G8" i="66"/>
  <c r="C3" i="59"/>
  <c r="H8" i="60"/>
  <c r="F8" i="60"/>
  <c r="F7" i="60"/>
  <c r="C5" i="60"/>
  <c r="J7" i="60"/>
  <c r="E8" i="60"/>
  <c r="E7" i="60"/>
  <c r="D8" i="60"/>
  <c r="B10" i="60"/>
  <c r="B11" i="60" s="1"/>
  <c r="B12" i="60" s="1"/>
  <c r="G8" i="60"/>
  <c r="H7" i="60"/>
  <c r="D7" i="60"/>
  <c r="I8" i="60"/>
  <c r="C7" i="60"/>
  <c r="G7" i="60"/>
  <c r="C8" i="60"/>
  <c r="J8" i="60"/>
  <c r="I7" i="60"/>
  <c r="C14" i="93" l="1"/>
  <c r="E14" i="93" s="1"/>
  <c r="F14" i="93" s="1"/>
  <c r="H14" i="93" s="1"/>
  <c r="D9" i="60"/>
  <c r="C14" i="74"/>
  <c r="E14" i="74" s="1"/>
  <c r="E13" i="57"/>
  <c r="E8" i="66"/>
  <c r="E26" i="66" s="1"/>
  <c r="E14" i="57"/>
  <c r="V14" i="80"/>
  <c r="X15" i="94"/>
  <c r="W15" i="39"/>
  <c r="C8" i="66"/>
  <c r="C26" i="66" s="1"/>
  <c r="G9" i="66"/>
  <c r="D8" i="66"/>
  <c r="D9" i="66" s="1"/>
  <c r="F8" i="66"/>
  <c r="F9" i="66" s="1"/>
  <c r="E9" i="60"/>
  <c r="I9" i="60"/>
  <c r="H9" i="60"/>
  <c r="C9" i="60"/>
  <c r="F9" i="60"/>
  <c r="C10" i="60"/>
  <c r="C6" i="60"/>
  <c r="G9" i="60"/>
  <c r="J9" i="60"/>
  <c r="G14" i="93" l="1"/>
  <c r="C13" i="74"/>
  <c r="E13" i="74" s="1"/>
  <c r="F13" i="74" s="1"/>
  <c r="G13" i="74" s="1"/>
  <c r="H13" i="74" s="1"/>
  <c r="C13" i="93"/>
  <c r="E13" i="93" s="1"/>
  <c r="F13" i="93" s="1"/>
  <c r="G13" i="93" s="1"/>
  <c r="H13" i="93" s="1"/>
  <c r="E9" i="66"/>
  <c r="F14" i="74"/>
  <c r="H14" i="74" s="1"/>
  <c r="G14" i="74"/>
  <c r="W14" i="80"/>
  <c r="Y15" i="94"/>
  <c r="X15" i="39"/>
  <c r="C9" i="66"/>
  <c r="D26" i="66"/>
  <c r="F26" i="66"/>
  <c r="C11" i="60"/>
  <c r="C12" i="60" s="1"/>
  <c r="D5" i="60"/>
  <c r="X14" i="80" l="1"/>
  <c r="Z15" i="94"/>
  <c r="Y15" i="39"/>
  <c r="D10" i="60"/>
  <c r="D6" i="60"/>
  <c r="Y14" i="80" l="1"/>
  <c r="Z15" i="39"/>
  <c r="D11" i="60"/>
  <c r="D12" i="60" s="1"/>
  <c r="E5" i="60"/>
  <c r="Z14" i="80" l="1"/>
  <c r="E10" i="60"/>
  <c r="E6" i="60"/>
  <c r="F5" i="60" l="1"/>
  <c r="E11" i="60"/>
  <c r="E12" i="60" s="1"/>
  <c r="F6" i="60" l="1"/>
  <c r="F10" i="60"/>
  <c r="G5" i="60" l="1"/>
  <c r="F11" i="60"/>
  <c r="F12" i="60" s="1"/>
  <c r="E16" i="17"/>
  <c r="E15" i="17"/>
  <c r="E17" i="17"/>
  <c r="G10" i="60" l="1"/>
  <c r="G12" i="60" s="1"/>
  <c r="G6" i="60"/>
  <c r="H5" i="60" l="1"/>
  <c r="G11" i="60"/>
  <c r="H6" i="60" l="1"/>
  <c r="H10" i="60"/>
  <c r="H12" i="60" s="1"/>
  <c r="K10" i="17"/>
  <c r="K9" i="17"/>
  <c r="H11" i="60" l="1"/>
  <c r="I5" i="60"/>
  <c r="I10" i="60" l="1"/>
  <c r="I12" i="60" s="1"/>
  <c r="I6" i="60"/>
  <c r="A1" i="17"/>
  <c r="F6" i="47"/>
  <c r="G13" i="72" l="1"/>
  <c r="O13" i="72"/>
  <c r="W13" i="72"/>
  <c r="AE13" i="72"/>
  <c r="AM13" i="72"/>
  <c r="AU13" i="72"/>
  <c r="BC13" i="72"/>
  <c r="BK13" i="72"/>
  <c r="BS13" i="72"/>
  <c r="CA13" i="72"/>
  <c r="CI13" i="72"/>
  <c r="BB13" i="72"/>
  <c r="H13" i="72"/>
  <c r="P13" i="72"/>
  <c r="X13" i="72"/>
  <c r="AF13" i="72"/>
  <c r="AN13" i="72"/>
  <c r="AV13" i="72"/>
  <c r="BD13" i="72"/>
  <c r="BL13" i="72"/>
  <c r="BT13" i="72"/>
  <c r="CB13" i="72"/>
  <c r="CJ13" i="72"/>
  <c r="AL13" i="72"/>
  <c r="BZ13" i="72"/>
  <c r="I13" i="72"/>
  <c r="Q13" i="72"/>
  <c r="Y13" i="72"/>
  <c r="AG13" i="72"/>
  <c r="AO13" i="72"/>
  <c r="AW13" i="72"/>
  <c r="BE13" i="72"/>
  <c r="BM13" i="72"/>
  <c r="BU13" i="72"/>
  <c r="CC13" i="72"/>
  <c r="CK13" i="72"/>
  <c r="AD13" i="72"/>
  <c r="J13" i="72"/>
  <c r="R13" i="72"/>
  <c r="Z13" i="72"/>
  <c r="AH13" i="72"/>
  <c r="AP13" i="72"/>
  <c r="AX13" i="72"/>
  <c r="BF13" i="72"/>
  <c r="BN13" i="72"/>
  <c r="BV13" i="72"/>
  <c r="CD13" i="72"/>
  <c r="CL13" i="72"/>
  <c r="K13" i="72"/>
  <c r="S13" i="72"/>
  <c r="AA13" i="72"/>
  <c r="AI13" i="72"/>
  <c r="AQ13" i="72"/>
  <c r="AY13" i="72"/>
  <c r="BG13" i="72"/>
  <c r="BO13" i="72"/>
  <c r="BW13" i="72"/>
  <c r="CE13" i="72"/>
  <c r="N13" i="72"/>
  <c r="AT13" i="72"/>
  <c r="BR13" i="72"/>
  <c r="CH13" i="72"/>
  <c r="L13" i="72"/>
  <c r="T13" i="72"/>
  <c r="AB13" i="72"/>
  <c r="AJ13" i="72"/>
  <c r="AR13" i="72"/>
  <c r="AZ13" i="72"/>
  <c r="BH13" i="72"/>
  <c r="BP13" i="72"/>
  <c r="BX13" i="72"/>
  <c r="CF13" i="72"/>
  <c r="V13" i="72"/>
  <c r="M13" i="72"/>
  <c r="U13" i="72"/>
  <c r="AC13" i="72"/>
  <c r="AK13" i="72"/>
  <c r="AS13" i="72"/>
  <c r="BA13" i="72"/>
  <c r="BI13" i="72"/>
  <c r="BQ13" i="72"/>
  <c r="BY13" i="72"/>
  <c r="CG13" i="72"/>
  <c r="BJ13" i="72"/>
  <c r="G6" i="47"/>
  <c r="J5" i="60"/>
  <c r="I11" i="60"/>
  <c r="F8" i="47"/>
  <c r="G11" i="47" s="1"/>
  <c r="U17" i="94" l="1"/>
  <c r="M17" i="94"/>
  <c r="T17" i="94"/>
  <c r="L17" i="94"/>
  <c r="Z17" i="94"/>
  <c r="R17" i="94"/>
  <c r="J17" i="94"/>
  <c r="Y17" i="94"/>
  <c r="Q17" i="94"/>
  <c r="I17" i="94"/>
  <c r="X17" i="94"/>
  <c r="P17" i="94"/>
  <c r="W17" i="94"/>
  <c r="O17" i="94"/>
  <c r="S17" i="94"/>
  <c r="V17" i="94"/>
  <c r="N17" i="94"/>
  <c r="K17" i="94"/>
  <c r="Z24" i="72"/>
  <c r="Z30" i="72"/>
  <c r="Z28" i="72" s="1"/>
  <c r="Z47" i="72"/>
  <c r="AL30" i="72"/>
  <c r="AL28" i="72" s="1"/>
  <c r="AL24" i="72"/>
  <c r="AL47" i="72"/>
  <c r="BK24" i="72"/>
  <c r="BK30" i="72"/>
  <c r="BK28" i="72" s="1"/>
  <c r="BK47" i="72"/>
  <c r="BI30" i="72"/>
  <c r="BI28" i="72" s="1"/>
  <c r="BI24" i="72"/>
  <c r="BI47" i="72"/>
  <c r="BE24" i="72"/>
  <c r="BE30" i="72"/>
  <c r="BE28" i="72" s="1"/>
  <c r="BE47" i="72"/>
  <c r="AF30" i="72"/>
  <c r="AF28" i="72" s="1"/>
  <c r="AF24" i="72"/>
  <c r="AF47" i="72"/>
  <c r="BA30" i="72"/>
  <c r="BA28" i="72" s="1"/>
  <c r="BA47" i="72"/>
  <c r="BA24" i="72"/>
  <c r="BX30" i="72"/>
  <c r="BX28" i="72" s="1"/>
  <c r="BX24" i="72"/>
  <c r="BX47" i="72"/>
  <c r="L30" i="72"/>
  <c r="L28" i="72" s="1"/>
  <c r="L47" i="72"/>
  <c r="L24" i="72"/>
  <c r="BG30" i="72"/>
  <c r="BG28" i="72" s="1"/>
  <c r="BG24" i="72"/>
  <c r="BG47" i="72"/>
  <c r="CD30" i="72"/>
  <c r="CD28" i="72" s="1"/>
  <c r="CD24" i="72"/>
  <c r="CD47" i="72"/>
  <c r="R30" i="72"/>
  <c r="R28" i="72" s="1"/>
  <c r="R24" i="72"/>
  <c r="R47" i="72"/>
  <c r="AW30" i="72"/>
  <c r="AW28" i="72" s="1"/>
  <c r="AW47" i="72"/>
  <c r="AW24" i="72"/>
  <c r="CJ24" i="72"/>
  <c r="CJ30" i="72"/>
  <c r="CJ28" i="72" s="1"/>
  <c r="CJ47" i="72"/>
  <c r="X24" i="72"/>
  <c r="X30" i="72"/>
  <c r="X28" i="72" s="1"/>
  <c r="X47" i="72"/>
  <c r="BC30" i="72"/>
  <c r="BC28" i="72" s="1"/>
  <c r="BC24" i="72"/>
  <c r="BC47" i="72"/>
  <c r="T30" i="72"/>
  <c r="T28" i="72" s="1"/>
  <c r="T24" i="72"/>
  <c r="T47" i="72"/>
  <c r="AS30" i="72"/>
  <c r="AS28" i="72" s="1"/>
  <c r="AS24" i="72"/>
  <c r="AS47" i="72"/>
  <c r="J30" i="72"/>
  <c r="J28" i="72" s="1"/>
  <c r="J24" i="72"/>
  <c r="J47" i="72"/>
  <c r="BH30" i="72"/>
  <c r="BH28" i="72" s="1"/>
  <c r="BH24" i="72"/>
  <c r="BH47" i="72"/>
  <c r="AQ30" i="72"/>
  <c r="AQ28" i="72" s="1"/>
  <c r="AQ24" i="72"/>
  <c r="AQ47" i="72"/>
  <c r="BN30" i="72"/>
  <c r="BN28" i="72" s="1"/>
  <c r="BN24" i="72"/>
  <c r="BN47" i="72"/>
  <c r="AD30" i="72"/>
  <c r="AD28" i="72" s="1"/>
  <c r="AD24" i="72"/>
  <c r="AD47" i="72"/>
  <c r="AG47" i="72"/>
  <c r="AG30" i="72"/>
  <c r="AG28" i="72" s="1"/>
  <c r="AG24" i="72"/>
  <c r="BT24" i="72"/>
  <c r="BT30" i="72"/>
  <c r="BT28" i="72" s="1"/>
  <c r="BT47" i="72"/>
  <c r="H47" i="72"/>
  <c r="H24" i="72"/>
  <c r="H30" i="72"/>
  <c r="H28" i="72" s="1"/>
  <c r="AM30" i="72"/>
  <c r="AM28" i="72" s="1"/>
  <c r="AM24" i="72"/>
  <c r="AM47" i="72"/>
  <c r="CF30" i="72"/>
  <c r="CF28" i="72" s="1"/>
  <c r="CF24" i="72"/>
  <c r="CF47" i="72"/>
  <c r="BP30" i="72"/>
  <c r="BP28" i="72" s="1"/>
  <c r="BP24" i="72"/>
  <c r="BP47" i="72"/>
  <c r="CB30" i="72"/>
  <c r="CB28" i="72" s="1"/>
  <c r="CB24" i="72"/>
  <c r="CB47" i="72"/>
  <c r="AK47" i="72"/>
  <c r="AK30" i="72"/>
  <c r="AK28" i="72" s="1"/>
  <c r="AK24" i="72"/>
  <c r="AC30" i="72"/>
  <c r="AC28" i="72" s="1"/>
  <c r="AC24" i="72"/>
  <c r="AC47" i="72"/>
  <c r="AT30" i="72"/>
  <c r="AT28" i="72" s="1"/>
  <c r="AT24" i="72"/>
  <c r="AT47" i="72"/>
  <c r="AI30" i="72"/>
  <c r="AI28" i="72" s="1"/>
  <c r="AI24" i="72"/>
  <c r="AI47" i="72"/>
  <c r="BF30" i="72"/>
  <c r="BF28" i="72" s="1"/>
  <c r="BF24" i="72"/>
  <c r="BF47" i="72"/>
  <c r="CK24" i="72"/>
  <c r="CK30" i="72"/>
  <c r="CK28" i="72" s="1"/>
  <c r="CK47" i="72"/>
  <c r="Y24" i="72"/>
  <c r="Y30" i="72"/>
  <c r="Y28" i="72" s="1"/>
  <c r="Y47" i="72"/>
  <c r="BL30" i="72"/>
  <c r="BL28" i="72" s="1"/>
  <c r="BL24" i="72"/>
  <c r="BL47" i="72"/>
  <c r="BB24" i="72"/>
  <c r="BB30" i="72"/>
  <c r="BB28" i="72" s="1"/>
  <c r="BB47" i="72"/>
  <c r="AE30" i="72"/>
  <c r="AE28" i="72" s="1"/>
  <c r="AE24" i="72"/>
  <c r="AE47" i="72"/>
  <c r="BO30" i="72"/>
  <c r="BO28" i="72" s="1"/>
  <c r="BO24" i="72"/>
  <c r="BO47" i="72"/>
  <c r="CH30" i="72"/>
  <c r="CH28" i="72" s="1"/>
  <c r="CH24" i="72"/>
  <c r="CH47" i="72"/>
  <c r="AO47" i="72"/>
  <c r="AO24" i="72"/>
  <c r="AO30" i="72"/>
  <c r="AO28" i="72" s="1"/>
  <c r="BR24" i="72"/>
  <c r="BR30" i="72"/>
  <c r="BR28" i="72" s="1"/>
  <c r="BR47" i="72"/>
  <c r="BJ30" i="72"/>
  <c r="BJ28" i="72" s="1"/>
  <c r="BJ24" i="72"/>
  <c r="BJ47" i="72"/>
  <c r="CG30" i="72"/>
  <c r="CG28" i="72" s="1"/>
  <c r="CG47" i="72"/>
  <c r="CG24" i="72"/>
  <c r="AR30" i="72"/>
  <c r="AR28" i="72" s="1"/>
  <c r="AR24" i="72"/>
  <c r="AR47" i="72"/>
  <c r="N30" i="72"/>
  <c r="N28" i="72" s="1"/>
  <c r="N24" i="72"/>
  <c r="N47" i="72"/>
  <c r="AA30" i="72"/>
  <c r="AA28" i="72" s="1"/>
  <c r="AA24" i="72"/>
  <c r="AA47" i="72"/>
  <c r="AX30" i="72"/>
  <c r="AX28" i="72" s="1"/>
  <c r="AX24" i="72"/>
  <c r="AX47" i="72"/>
  <c r="CC24" i="72"/>
  <c r="CC47" i="72"/>
  <c r="CC30" i="72"/>
  <c r="CC28" i="72" s="1"/>
  <c r="Q30" i="72"/>
  <c r="Q28" i="72" s="1"/>
  <c r="Q47" i="72"/>
  <c r="Q24" i="72"/>
  <c r="BD30" i="72"/>
  <c r="BD28" i="72" s="1"/>
  <c r="BD24" i="72"/>
  <c r="BD47" i="72"/>
  <c r="CI30" i="72"/>
  <c r="CI28" i="72" s="1"/>
  <c r="CI24" i="72"/>
  <c r="CI47" i="72"/>
  <c r="W30" i="72"/>
  <c r="W28" i="72" s="1"/>
  <c r="W24" i="72"/>
  <c r="W47" i="72"/>
  <c r="CL30" i="72"/>
  <c r="CL28" i="72" s="1"/>
  <c r="CL24" i="72"/>
  <c r="CL47" i="72"/>
  <c r="BV24" i="72"/>
  <c r="BV30" i="72"/>
  <c r="BV28" i="72" s="1"/>
  <c r="BV47" i="72"/>
  <c r="AU24" i="72"/>
  <c r="AU30" i="72"/>
  <c r="AU28" i="72" s="1"/>
  <c r="AU47" i="72"/>
  <c r="AZ30" i="72"/>
  <c r="AZ28" i="72" s="1"/>
  <c r="AZ24" i="72"/>
  <c r="AZ47" i="72"/>
  <c r="U30" i="72"/>
  <c r="U28" i="72" s="1"/>
  <c r="U47" i="72"/>
  <c r="U24" i="72"/>
  <c r="BY30" i="72"/>
  <c r="BY28" i="72" s="1"/>
  <c r="BY24" i="72"/>
  <c r="BY47" i="72"/>
  <c r="M30" i="72"/>
  <c r="M28" i="72" s="1"/>
  <c r="M24" i="72"/>
  <c r="M47" i="72"/>
  <c r="AJ30" i="72"/>
  <c r="AJ28" i="72" s="1"/>
  <c r="AJ24" i="72"/>
  <c r="AJ47" i="72"/>
  <c r="CE30" i="72"/>
  <c r="CE28" i="72" s="1"/>
  <c r="CE24" i="72"/>
  <c r="CE47" i="72"/>
  <c r="S30" i="72"/>
  <c r="S28" i="72" s="1"/>
  <c r="S24" i="72"/>
  <c r="S47" i="72"/>
  <c r="AP30" i="72"/>
  <c r="AP28" i="72" s="1"/>
  <c r="AP24" i="72"/>
  <c r="AP47" i="72"/>
  <c r="BU30" i="72"/>
  <c r="BU28" i="72" s="1"/>
  <c r="BU24" i="72"/>
  <c r="BU47" i="72"/>
  <c r="I47" i="72"/>
  <c r="I24" i="72"/>
  <c r="I30" i="72"/>
  <c r="I28" i="72" s="1"/>
  <c r="AV30" i="72"/>
  <c r="AV28" i="72" s="1"/>
  <c r="AV24" i="72"/>
  <c r="AV47" i="72"/>
  <c r="CA24" i="72"/>
  <c r="CA30" i="72"/>
  <c r="CA28" i="72" s="1"/>
  <c r="CA47" i="72"/>
  <c r="O47" i="72"/>
  <c r="O24" i="72"/>
  <c r="O30" i="72"/>
  <c r="O28" i="72" s="1"/>
  <c r="AY30" i="72"/>
  <c r="AY28" i="72" s="1"/>
  <c r="AY24" i="72"/>
  <c r="AY47" i="72"/>
  <c r="P47" i="72"/>
  <c r="P30" i="72"/>
  <c r="P28" i="72" s="1"/>
  <c r="P24" i="72"/>
  <c r="K16" i="72"/>
  <c r="S16" i="72"/>
  <c r="AA16" i="72"/>
  <c r="AI16" i="72"/>
  <c r="AQ16" i="72"/>
  <c r="AY16" i="72"/>
  <c r="BG16" i="72"/>
  <c r="BO16" i="72"/>
  <c r="BW16" i="72"/>
  <c r="CE16" i="72"/>
  <c r="CM16" i="72"/>
  <c r="L16" i="72"/>
  <c r="T16" i="72"/>
  <c r="AB16" i="72"/>
  <c r="AJ16" i="72"/>
  <c r="AR16" i="72"/>
  <c r="AZ16" i="72"/>
  <c r="BH16" i="72"/>
  <c r="BP16" i="72"/>
  <c r="BX16" i="72"/>
  <c r="CF16" i="72"/>
  <c r="G16" i="72"/>
  <c r="M16" i="72"/>
  <c r="U16" i="72"/>
  <c r="AC16" i="72"/>
  <c r="AK16" i="72"/>
  <c r="AS16" i="72"/>
  <c r="BA16" i="72"/>
  <c r="BI16" i="72"/>
  <c r="BQ16" i="72"/>
  <c r="BY16" i="72"/>
  <c r="CG16" i="72"/>
  <c r="N16" i="72"/>
  <c r="V16" i="72"/>
  <c r="AD16" i="72"/>
  <c r="AL16" i="72"/>
  <c r="AT16" i="72"/>
  <c r="BB16" i="72"/>
  <c r="BJ16" i="72"/>
  <c r="BR16" i="72"/>
  <c r="BZ16" i="72"/>
  <c r="CH16" i="72"/>
  <c r="O16" i="72"/>
  <c r="W16" i="72"/>
  <c r="AE16" i="72"/>
  <c r="AM16" i="72"/>
  <c r="AU16" i="72"/>
  <c r="BC16" i="72"/>
  <c r="BK16" i="72"/>
  <c r="BS16" i="72"/>
  <c r="CA16" i="72"/>
  <c r="CI16" i="72"/>
  <c r="H16" i="72"/>
  <c r="P16" i="72"/>
  <c r="X16" i="72"/>
  <c r="AF16" i="72"/>
  <c r="AN16" i="72"/>
  <c r="AV16" i="72"/>
  <c r="BD16" i="72"/>
  <c r="BL16" i="72"/>
  <c r="BT16" i="72"/>
  <c r="CB16" i="72"/>
  <c r="CJ16" i="72"/>
  <c r="I16" i="72"/>
  <c r="Q16" i="72"/>
  <c r="Y16" i="72"/>
  <c r="AG16" i="72"/>
  <c r="AO16" i="72"/>
  <c r="AW16" i="72"/>
  <c r="BE16" i="72"/>
  <c r="BM16" i="72"/>
  <c r="BU16" i="72"/>
  <c r="CC16" i="72"/>
  <c r="CK16" i="72"/>
  <c r="BF16" i="72"/>
  <c r="BN16" i="72"/>
  <c r="J16" i="72"/>
  <c r="BV16" i="72"/>
  <c r="AX16" i="72"/>
  <c r="R16" i="72"/>
  <c r="CD16" i="72"/>
  <c r="Z16" i="72"/>
  <c r="CL16" i="72"/>
  <c r="AH16" i="72"/>
  <c r="AP16" i="72"/>
  <c r="BQ47" i="72"/>
  <c r="BQ30" i="72"/>
  <c r="BQ28" i="72" s="1"/>
  <c r="BQ24" i="72"/>
  <c r="V24" i="72"/>
  <c r="V30" i="72"/>
  <c r="V28" i="72" s="1"/>
  <c r="V47" i="72"/>
  <c r="AB30" i="72"/>
  <c r="AB28" i="72" s="1"/>
  <c r="AB24" i="72"/>
  <c r="AB47" i="72"/>
  <c r="BW30" i="72"/>
  <c r="BW28" i="72" s="1"/>
  <c r="BW24" i="72"/>
  <c r="BW47" i="72"/>
  <c r="K30" i="72"/>
  <c r="K28" i="72" s="1"/>
  <c r="K24" i="72"/>
  <c r="K47" i="72"/>
  <c r="AH30" i="72"/>
  <c r="AH28" i="72" s="1"/>
  <c r="AH24" i="72"/>
  <c r="AH47" i="72"/>
  <c r="BM47" i="72"/>
  <c r="BM30" i="72"/>
  <c r="BM28" i="72" s="1"/>
  <c r="BM24" i="72"/>
  <c r="BZ30" i="72"/>
  <c r="BZ28" i="72" s="1"/>
  <c r="BZ24" i="72"/>
  <c r="BZ47" i="72"/>
  <c r="AN24" i="72"/>
  <c r="AN30" i="72"/>
  <c r="AN28" i="72" s="1"/>
  <c r="AN47" i="72"/>
  <c r="BS30" i="72"/>
  <c r="BS28" i="72" s="1"/>
  <c r="BS24" i="72"/>
  <c r="BS47" i="72"/>
  <c r="G30" i="72"/>
  <c r="G28" i="72" s="1"/>
  <c r="G24" i="72"/>
  <c r="G47" i="72"/>
  <c r="CM13" i="72"/>
  <c r="I17" i="39"/>
  <c r="C10" i="56" s="1"/>
  <c r="M17" i="39"/>
  <c r="G10" i="56" s="1"/>
  <c r="Q17" i="39"/>
  <c r="K10" i="56" s="1"/>
  <c r="U17" i="39"/>
  <c r="Y17" i="39"/>
  <c r="Z17" i="39"/>
  <c r="L17" i="39"/>
  <c r="F10" i="56" s="1"/>
  <c r="P17" i="39"/>
  <c r="J10" i="56" s="1"/>
  <c r="X17" i="39"/>
  <c r="J17" i="39"/>
  <c r="D10" i="56" s="1"/>
  <c r="N17" i="39"/>
  <c r="H10" i="56" s="1"/>
  <c r="R17" i="39"/>
  <c r="V17" i="39"/>
  <c r="T17" i="39"/>
  <c r="K17" i="39"/>
  <c r="O17" i="39"/>
  <c r="I10" i="56" s="1"/>
  <c r="S17" i="39"/>
  <c r="W17" i="39"/>
  <c r="H17" i="39"/>
  <c r="J6" i="60"/>
  <c r="J10" i="60"/>
  <c r="J12" i="60" s="1"/>
  <c r="CM22" i="72" l="1"/>
  <c r="CM20" i="72"/>
  <c r="AB50" i="72"/>
  <c r="AB52" i="72" s="1"/>
  <c r="AB51" i="72"/>
  <c r="AB53" i="72" s="1"/>
  <c r="BQ50" i="72"/>
  <c r="BQ52" i="72" s="1"/>
  <c r="BQ51" i="72"/>
  <c r="BQ53" i="72" s="1"/>
  <c r="R45" i="72"/>
  <c r="R63" i="72" s="1"/>
  <c r="R27" i="72"/>
  <c r="R23" i="72"/>
  <c r="R44" i="72"/>
  <c r="R64" i="72" s="1"/>
  <c r="R39" i="72"/>
  <c r="R42" i="72"/>
  <c r="R60" i="72" s="1"/>
  <c r="R35" i="72"/>
  <c r="R37" i="72"/>
  <c r="R40" i="72"/>
  <c r="R38" i="72"/>
  <c r="R34" i="72"/>
  <c r="R36" i="72"/>
  <c r="R43" i="72"/>
  <c r="R61" i="72" s="1"/>
  <c r="BU45" i="72"/>
  <c r="BU63" i="72" s="1"/>
  <c r="BU27" i="72"/>
  <c r="BU44" i="72"/>
  <c r="BU64" i="72" s="1"/>
  <c r="BU39" i="72"/>
  <c r="BU23" i="72"/>
  <c r="BU55" i="72" s="1"/>
  <c r="BU38" i="72"/>
  <c r="BU36" i="72"/>
  <c r="BU43" i="72"/>
  <c r="BU61" i="72" s="1"/>
  <c r="BU37" i="72"/>
  <c r="BU34" i="72"/>
  <c r="BU35" i="72"/>
  <c r="BU33" i="72"/>
  <c r="BU42" i="72"/>
  <c r="BU60" i="72" s="1"/>
  <c r="BU40" i="72"/>
  <c r="I45" i="72"/>
  <c r="I63" i="72" s="1"/>
  <c r="I27" i="72"/>
  <c r="I44" i="72"/>
  <c r="I64" i="72" s="1"/>
  <c r="I23" i="72"/>
  <c r="I55" i="72" s="1"/>
  <c r="I39" i="72"/>
  <c r="I43" i="72"/>
  <c r="I61" i="72" s="1"/>
  <c r="I34" i="72"/>
  <c r="I37" i="72"/>
  <c r="I42" i="72"/>
  <c r="I60" i="72" s="1"/>
  <c r="I35" i="72"/>
  <c r="I40" i="72"/>
  <c r="I36" i="72"/>
  <c r="I38" i="72"/>
  <c r="AF23" i="72"/>
  <c r="AF55" i="72" s="1"/>
  <c r="AF39" i="72"/>
  <c r="AF45" i="72"/>
  <c r="AF63" i="72" s="1"/>
  <c r="AF27" i="72"/>
  <c r="AF44" i="72"/>
  <c r="AF64" i="72" s="1"/>
  <c r="AF40" i="72"/>
  <c r="AF38" i="72"/>
  <c r="AF34" i="72"/>
  <c r="AF43" i="72"/>
  <c r="AF61" i="72" s="1"/>
  <c r="AF33" i="72"/>
  <c r="AF42" i="72"/>
  <c r="AF60" i="72" s="1"/>
  <c r="AF36" i="72"/>
  <c r="AF37" i="72"/>
  <c r="AF35" i="72"/>
  <c r="BC23" i="72"/>
  <c r="BC39" i="72"/>
  <c r="BC44" i="72"/>
  <c r="BC64" i="72" s="1"/>
  <c r="BC27" i="72"/>
  <c r="BC45" i="72"/>
  <c r="BC63" i="72" s="1"/>
  <c r="BC40" i="72"/>
  <c r="BC33" i="72"/>
  <c r="BC38" i="72"/>
  <c r="BC34" i="72"/>
  <c r="BC36" i="72"/>
  <c r="BC43" i="72"/>
  <c r="BC61" i="72" s="1"/>
  <c r="BC35" i="72"/>
  <c r="BC37" i="72"/>
  <c r="BC42" i="72"/>
  <c r="BC60" i="72" s="1"/>
  <c r="BR45" i="72"/>
  <c r="BR63" i="72" s="1"/>
  <c r="BR27" i="72"/>
  <c r="BR23" i="72"/>
  <c r="BR55" i="72" s="1"/>
  <c r="BR39" i="72"/>
  <c r="BR44" i="72"/>
  <c r="BR64" i="72" s="1"/>
  <c r="BR40" i="72"/>
  <c r="BR35" i="72"/>
  <c r="BR38" i="72"/>
  <c r="BR36" i="72"/>
  <c r="BR34" i="72"/>
  <c r="BR42" i="72"/>
  <c r="BR60" i="72" s="1"/>
  <c r="BR33" i="72"/>
  <c r="BR43" i="72"/>
  <c r="BR61" i="72" s="1"/>
  <c r="BR37" i="72"/>
  <c r="CG23" i="72"/>
  <c r="CG44" i="72"/>
  <c r="CG64" i="72" s="1"/>
  <c r="CG27" i="72"/>
  <c r="CG39" i="72"/>
  <c r="CG45" i="72"/>
  <c r="CG63" i="72" s="1"/>
  <c r="CG40" i="72"/>
  <c r="CG38" i="72"/>
  <c r="CG36" i="72"/>
  <c r="CG43" i="72"/>
  <c r="CG61" i="72" s="1"/>
  <c r="CG34" i="72"/>
  <c r="CG35" i="72"/>
  <c r="CG33" i="72"/>
  <c r="CG42" i="72"/>
  <c r="CG60" i="72" s="1"/>
  <c r="CG37" i="72"/>
  <c r="U23" i="72"/>
  <c r="U44" i="72"/>
  <c r="U64" i="72" s="1"/>
  <c r="U27" i="72"/>
  <c r="U39" i="72"/>
  <c r="U45" i="72"/>
  <c r="U63" i="72" s="1"/>
  <c r="U40" i="72"/>
  <c r="U38" i="72"/>
  <c r="U36" i="72"/>
  <c r="U34" i="72"/>
  <c r="U37" i="72"/>
  <c r="U33" i="72"/>
  <c r="U35" i="72"/>
  <c r="U43" i="72"/>
  <c r="U61" i="72" s="1"/>
  <c r="U42" i="72"/>
  <c r="U60" i="72" s="1"/>
  <c r="AR39" i="72"/>
  <c r="AR23" i="72"/>
  <c r="AR45" i="72"/>
  <c r="AR63" i="72" s="1"/>
  <c r="AR44" i="72"/>
  <c r="AR64" i="72" s="1"/>
  <c r="AR27" i="72"/>
  <c r="AR43" i="72"/>
  <c r="AR61" i="72" s="1"/>
  <c r="AR38" i="72"/>
  <c r="AR42" i="72"/>
  <c r="AR60" i="72" s="1"/>
  <c r="AR33" i="72"/>
  <c r="AR35" i="72"/>
  <c r="AR36" i="72"/>
  <c r="AR37" i="72"/>
  <c r="AR34" i="72"/>
  <c r="AR40" i="72"/>
  <c r="BO45" i="72"/>
  <c r="BO63" i="72" s="1"/>
  <c r="BO39" i="72"/>
  <c r="BO27" i="72"/>
  <c r="BO23" i="72"/>
  <c r="BO44" i="72"/>
  <c r="BO64" i="72" s="1"/>
  <c r="BO38" i="72"/>
  <c r="BO34" i="72"/>
  <c r="BO36" i="72"/>
  <c r="BO43" i="72"/>
  <c r="BO61" i="72" s="1"/>
  <c r="BO37" i="72"/>
  <c r="BO33" i="72"/>
  <c r="BO42" i="72"/>
  <c r="BO60" i="72" s="1"/>
  <c r="BO40" i="72"/>
  <c r="BO35" i="72"/>
  <c r="AV50" i="72"/>
  <c r="AV52" i="72" s="1"/>
  <c r="AV51" i="72"/>
  <c r="AV53" i="72" s="1"/>
  <c r="BY51" i="72"/>
  <c r="BY53" i="72" s="1"/>
  <c r="BY50" i="72"/>
  <c r="BY52" i="72" s="1"/>
  <c r="U50" i="72"/>
  <c r="U52" i="72" s="1"/>
  <c r="U51" i="72"/>
  <c r="U53" i="72" s="1"/>
  <c r="BV51" i="72"/>
  <c r="BV53" i="72" s="1"/>
  <c r="BV50" i="72"/>
  <c r="BV52" i="72" s="1"/>
  <c r="BD50" i="72"/>
  <c r="BD52" i="72" s="1"/>
  <c r="BD51" i="72"/>
  <c r="BD53" i="72" s="1"/>
  <c r="Q50" i="72"/>
  <c r="Q52" i="72" s="1"/>
  <c r="Q51" i="72"/>
  <c r="Q53" i="72" s="1"/>
  <c r="AA50" i="72"/>
  <c r="AA52" i="72" s="1"/>
  <c r="AA51" i="72"/>
  <c r="AA53" i="72" s="1"/>
  <c r="N50" i="72"/>
  <c r="N52" i="72" s="1"/>
  <c r="N51" i="72"/>
  <c r="N53" i="72" s="1"/>
  <c r="BJ51" i="72"/>
  <c r="BJ53" i="72" s="1"/>
  <c r="BJ50" i="72"/>
  <c r="BJ52" i="72" s="1"/>
  <c r="BO50" i="72"/>
  <c r="BO52" i="72" s="1"/>
  <c r="BO51" i="72"/>
  <c r="BO53" i="72" s="1"/>
  <c r="AT50" i="72"/>
  <c r="AT52" i="72" s="1"/>
  <c r="AT51" i="72"/>
  <c r="AT53" i="72" s="1"/>
  <c r="AK50" i="72"/>
  <c r="AK52" i="72" s="1"/>
  <c r="AK51" i="72"/>
  <c r="AK53" i="72" s="1"/>
  <c r="BP50" i="72"/>
  <c r="BP52" i="72" s="1"/>
  <c r="BP51" i="72"/>
  <c r="BP53" i="72" s="1"/>
  <c r="BT50" i="72"/>
  <c r="BT52" i="72" s="1"/>
  <c r="BT51" i="72"/>
  <c r="BT53" i="72" s="1"/>
  <c r="AQ50" i="72"/>
  <c r="AQ52" i="72" s="1"/>
  <c r="AQ51" i="72"/>
  <c r="AQ53" i="72" s="1"/>
  <c r="T51" i="72"/>
  <c r="T53" i="72" s="1"/>
  <c r="T50" i="72"/>
  <c r="T52" i="72" s="1"/>
  <c r="BI51" i="72"/>
  <c r="BI53" i="72" s="1"/>
  <c r="BI50" i="72"/>
  <c r="BI52" i="72" s="1"/>
  <c r="Z51" i="72"/>
  <c r="Z53" i="72" s="1"/>
  <c r="Z50" i="72"/>
  <c r="Z52" i="72" s="1"/>
  <c r="AX45" i="72"/>
  <c r="AX63" i="72" s="1"/>
  <c r="AX27" i="72"/>
  <c r="AX23" i="72"/>
  <c r="AX44" i="72"/>
  <c r="AX64" i="72" s="1"/>
  <c r="AX39" i="72"/>
  <c r="AX35" i="72"/>
  <c r="AX42" i="72"/>
  <c r="AX60" i="72" s="1"/>
  <c r="AX33" i="72"/>
  <c r="AX36" i="72"/>
  <c r="AX40" i="72"/>
  <c r="AX37" i="72"/>
  <c r="AX38" i="72"/>
  <c r="AX43" i="72"/>
  <c r="AX61" i="72" s="1"/>
  <c r="AX34" i="72"/>
  <c r="BM44" i="72"/>
  <c r="BM64" i="72" s="1"/>
  <c r="BM23" i="72"/>
  <c r="BM55" i="72" s="1"/>
  <c r="BM39" i="72"/>
  <c r="BM45" i="72"/>
  <c r="BM63" i="72" s="1"/>
  <c r="BM27" i="72"/>
  <c r="BM40" i="72"/>
  <c r="BM38" i="72"/>
  <c r="BM36" i="72"/>
  <c r="BM43" i="72"/>
  <c r="BM61" i="72" s="1"/>
  <c r="BM34" i="72"/>
  <c r="BM35" i="72"/>
  <c r="BM37" i="72"/>
  <c r="BM42" i="72"/>
  <c r="BM60" i="72" s="1"/>
  <c r="BM33" i="72"/>
  <c r="CJ45" i="72"/>
  <c r="CJ63" i="72" s="1"/>
  <c r="CJ23" i="72"/>
  <c r="CJ44" i="72"/>
  <c r="CJ64" i="72" s="1"/>
  <c r="CJ39" i="72"/>
  <c r="CJ27" i="72"/>
  <c r="CJ42" i="72"/>
  <c r="CJ60" i="72" s="1"/>
  <c r="CJ40" i="72"/>
  <c r="CJ38" i="72"/>
  <c r="CJ35" i="72"/>
  <c r="CJ34" i="72"/>
  <c r="CJ43" i="72"/>
  <c r="CJ61" i="72" s="1"/>
  <c r="CJ33" i="72"/>
  <c r="CJ37" i="72"/>
  <c r="CJ36" i="72"/>
  <c r="X45" i="72"/>
  <c r="X63" i="72" s="1"/>
  <c r="X23" i="72"/>
  <c r="X44" i="72"/>
  <c r="X64" i="72" s="1"/>
  <c r="X39" i="72"/>
  <c r="X27" i="72"/>
  <c r="X35" i="72"/>
  <c r="X34" i="72"/>
  <c r="X43" i="72"/>
  <c r="X61" i="72" s="1"/>
  <c r="X36" i="72"/>
  <c r="X42" i="72"/>
  <c r="X60" i="72" s="1"/>
  <c r="X33" i="72"/>
  <c r="X38" i="72"/>
  <c r="X40" i="72"/>
  <c r="X37" i="72"/>
  <c r="AU23" i="72"/>
  <c r="AU45" i="72"/>
  <c r="AU63" i="72" s="1"/>
  <c r="AU44" i="72"/>
  <c r="AU64" i="72" s="1"/>
  <c r="AU27" i="72"/>
  <c r="AU39" i="72"/>
  <c r="AU33" i="72"/>
  <c r="AU40" i="72"/>
  <c r="AU42" i="72"/>
  <c r="AU60" i="72" s="1"/>
  <c r="AU38" i="72"/>
  <c r="AU34" i="72"/>
  <c r="AU36" i="72"/>
  <c r="AU43" i="72"/>
  <c r="AU61" i="72" s="1"/>
  <c r="AU37" i="72"/>
  <c r="AU35" i="72"/>
  <c r="BJ45" i="72"/>
  <c r="BJ63" i="72" s="1"/>
  <c r="BJ27" i="72"/>
  <c r="BJ23" i="72"/>
  <c r="BJ39" i="72"/>
  <c r="BJ44" i="72"/>
  <c r="BJ64" i="72" s="1"/>
  <c r="BJ34" i="72"/>
  <c r="BJ43" i="72"/>
  <c r="BJ61" i="72" s="1"/>
  <c r="BJ42" i="72"/>
  <c r="BJ60" i="72" s="1"/>
  <c r="BJ37" i="72"/>
  <c r="BJ33" i="72"/>
  <c r="BJ40" i="72"/>
  <c r="BJ35" i="72"/>
  <c r="BJ38" i="72"/>
  <c r="BJ36" i="72"/>
  <c r="BY39" i="72"/>
  <c r="BY23" i="72"/>
  <c r="BY45" i="72"/>
  <c r="BY63" i="72" s="1"/>
  <c r="BY44" i="72"/>
  <c r="BY64" i="72" s="1"/>
  <c r="BY27" i="72"/>
  <c r="BY36" i="72"/>
  <c r="BY43" i="72"/>
  <c r="BY61" i="72" s="1"/>
  <c r="BY37" i="72"/>
  <c r="BY34" i="72"/>
  <c r="BY35" i="72"/>
  <c r="BY33" i="72"/>
  <c r="BY42" i="72"/>
  <c r="BY60" i="72" s="1"/>
  <c r="BY40" i="72"/>
  <c r="BY38" i="72"/>
  <c r="M39" i="72"/>
  <c r="M23" i="72"/>
  <c r="M45" i="72"/>
  <c r="M63" i="72" s="1"/>
  <c r="M44" i="72"/>
  <c r="M64" i="72" s="1"/>
  <c r="M27" i="72"/>
  <c r="M42" i="72"/>
  <c r="M60" i="72" s="1"/>
  <c r="M40" i="72"/>
  <c r="M38" i="72"/>
  <c r="M36" i="72"/>
  <c r="M43" i="72"/>
  <c r="M61" i="72" s="1"/>
  <c r="M34" i="72"/>
  <c r="M35" i="72"/>
  <c r="M37" i="72"/>
  <c r="AJ44" i="72"/>
  <c r="AJ64" i="72" s="1"/>
  <c r="AJ23" i="72"/>
  <c r="AJ39" i="72"/>
  <c r="AJ45" i="72"/>
  <c r="AJ63" i="72" s="1"/>
  <c r="AJ27" i="72"/>
  <c r="AJ38" i="72"/>
  <c r="AJ36" i="72"/>
  <c r="AJ37" i="72"/>
  <c r="AJ43" i="72"/>
  <c r="AJ61" i="72" s="1"/>
  <c r="AJ34" i="72"/>
  <c r="AJ42" i="72"/>
  <c r="AJ60" i="72" s="1"/>
  <c r="AJ33" i="72"/>
  <c r="AJ35" i="72"/>
  <c r="AJ40" i="72"/>
  <c r="BG45" i="72"/>
  <c r="BG63" i="72" s="1"/>
  <c r="BG39" i="72"/>
  <c r="BG27" i="72"/>
  <c r="BG23" i="72"/>
  <c r="BG44" i="72"/>
  <c r="BG64" i="72" s="1"/>
  <c r="BG33" i="72"/>
  <c r="BG38" i="72"/>
  <c r="BG42" i="72"/>
  <c r="BG60" i="72" s="1"/>
  <c r="BG36" i="72"/>
  <c r="BG34" i="72"/>
  <c r="BG43" i="72"/>
  <c r="BG61" i="72" s="1"/>
  <c r="BG37" i="72"/>
  <c r="BG35" i="72"/>
  <c r="BG40" i="72"/>
  <c r="S50" i="72"/>
  <c r="S52" i="72" s="1"/>
  <c r="S51" i="72"/>
  <c r="S53" i="72" s="1"/>
  <c r="AO51" i="72"/>
  <c r="AO53" i="72" s="1"/>
  <c r="AO50" i="72"/>
  <c r="AO52" i="72" s="1"/>
  <c r="Y50" i="72"/>
  <c r="Y52" i="72" s="1"/>
  <c r="Y51" i="72"/>
  <c r="Y53" i="72" s="1"/>
  <c r="AW50" i="72"/>
  <c r="AW52" i="72" s="1"/>
  <c r="AW51" i="72"/>
  <c r="AW53" i="72" s="1"/>
  <c r="BE51" i="72"/>
  <c r="BE53" i="72" s="1"/>
  <c r="BE50" i="72"/>
  <c r="BE52" i="72" s="1"/>
  <c r="CM21" i="72"/>
  <c r="BZ51" i="72"/>
  <c r="BZ53" i="72" s="1"/>
  <c r="BZ50" i="72"/>
  <c r="BZ52" i="72" s="1"/>
  <c r="BV23" i="72"/>
  <c r="BV45" i="72"/>
  <c r="BV63" i="72" s="1"/>
  <c r="BV27" i="72"/>
  <c r="BV39" i="72"/>
  <c r="BV44" i="72"/>
  <c r="BV64" i="72" s="1"/>
  <c r="BV35" i="72"/>
  <c r="BV36" i="72"/>
  <c r="BV38" i="72"/>
  <c r="BV37" i="72"/>
  <c r="BV40" i="72"/>
  <c r="BV42" i="72"/>
  <c r="BV60" i="72" s="1"/>
  <c r="BV34" i="72"/>
  <c r="BV33" i="72"/>
  <c r="BV43" i="72"/>
  <c r="BV61" i="72" s="1"/>
  <c r="BE45" i="72"/>
  <c r="BE63" i="72" s="1"/>
  <c r="BE23" i="72"/>
  <c r="BE44" i="72"/>
  <c r="BE64" i="72" s="1"/>
  <c r="BE27" i="72"/>
  <c r="BE39" i="72"/>
  <c r="BE40" i="72"/>
  <c r="BE38" i="72"/>
  <c r="BE36" i="72"/>
  <c r="BE43" i="72"/>
  <c r="BE61" i="72" s="1"/>
  <c r="BE37" i="72"/>
  <c r="BE34" i="72"/>
  <c r="BE42" i="72"/>
  <c r="BE60" i="72" s="1"/>
  <c r="BE35" i="72"/>
  <c r="BE33" i="72"/>
  <c r="CB27" i="72"/>
  <c r="CB39" i="72"/>
  <c r="CB45" i="72"/>
  <c r="CB63" i="72" s="1"/>
  <c r="CB23" i="72"/>
  <c r="CB44" i="72"/>
  <c r="CB64" i="72" s="1"/>
  <c r="CB38" i="72"/>
  <c r="CB35" i="72"/>
  <c r="CB34" i="72"/>
  <c r="CB43" i="72"/>
  <c r="CB61" i="72" s="1"/>
  <c r="CB33" i="72"/>
  <c r="CB37" i="72"/>
  <c r="CB36" i="72"/>
  <c r="CB42" i="72"/>
  <c r="CB60" i="72" s="1"/>
  <c r="CB40" i="72"/>
  <c r="P27" i="72"/>
  <c r="P39" i="72"/>
  <c r="P45" i="72"/>
  <c r="P63" i="72" s="1"/>
  <c r="P23" i="72"/>
  <c r="P44" i="72"/>
  <c r="P64" i="72" s="1"/>
  <c r="P42" i="72"/>
  <c r="P60" i="72" s="1"/>
  <c r="P36" i="72"/>
  <c r="P37" i="72"/>
  <c r="P35" i="72"/>
  <c r="P40" i="72"/>
  <c r="P38" i="72"/>
  <c r="P43" i="72"/>
  <c r="P61" i="72" s="1"/>
  <c r="P34" i="72"/>
  <c r="AM23" i="72"/>
  <c r="AM45" i="72"/>
  <c r="AM63" i="72" s="1"/>
  <c r="AM27" i="72"/>
  <c r="AM44" i="72"/>
  <c r="AM64" i="72" s="1"/>
  <c r="AM39" i="72"/>
  <c r="AM33" i="72"/>
  <c r="AM40" i="72"/>
  <c r="AM35" i="72"/>
  <c r="AM38" i="72"/>
  <c r="AM34" i="72"/>
  <c r="AM36" i="72"/>
  <c r="AM43" i="72"/>
  <c r="AM61" i="72" s="1"/>
  <c r="AM37" i="72"/>
  <c r="AM42" i="72"/>
  <c r="AM60" i="72" s="1"/>
  <c r="BB45" i="72"/>
  <c r="BB63" i="72" s="1"/>
  <c r="BB23" i="72"/>
  <c r="BB27" i="72"/>
  <c r="BB44" i="72"/>
  <c r="BB64" i="72" s="1"/>
  <c r="BB39" i="72"/>
  <c r="BB40" i="72"/>
  <c r="BB43" i="72"/>
  <c r="BB61" i="72" s="1"/>
  <c r="BB38" i="72"/>
  <c r="BB36" i="72"/>
  <c r="BB34" i="72"/>
  <c r="BB37" i="72"/>
  <c r="BB42" i="72"/>
  <c r="BB60" i="72" s="1"/>
  <c r="BB33" i="72"/>
  <c r="BB35" i="72"/>
  <c r="BQ27" i="72"/>
  <c r="BQ44" i="72"/>
  <c r="BQ64" i="72" s="1"/>
  <c r="BQ23" i="72"/>
  <c r="BQ39" i="72"/>
  <c r="BQ45" i="72"/>
  <c r="BQ63" i="72" s="1"/>
  <c r="BQ35" i="72"/>
  <c r="BQ33" i="72"/>
  <c r="BQ42" i="72"/>
  <c r="BQ60" i="72" s="1"/>
  <c r="BQ40" i="72"/>
  <c r="BQ38" i="72"/>
  <c r="BQ43" i="72"/>
  <c r="BQ61" i="72" s="1"/>
  <c r="BQ34" i="72"/>
  <c r="BQ37" i="72"/>
  <c r="BQ36" i="72"/>
  <c r="G39" i="72"/>
  <c r="G27" i="72"/>
  <c r="G45" i="72"/>
  <c r="G63" i="72" s="1"/>
  <c r="G44" i="72"/>
  <c r="G64" i="72" s="1"/>
  <c r="G23" i="72"/>
  <c r="G55" i="72" s="1"/>
  <c r="G37" i="72"/>
  <c r="G42" i="72"/>
  <c r="G35" i="72"/>
  <c r="G34" i="72"/>
  <c r="G38" i="72"/>
  <c r="G43" i="72"/>
  <c r="G40" i="72"/>
  <c r="G36" i="72"/>
  <c r="AB39" i="72"/>
  <c r="AB27" i="72"/>
  <c r="AB45" i="72"/>
  <c r="AB63" i="72" s="1"/>
  <c r="AB44" i="72"/>
  <c r="AB64" i="72" s="1"/>
  <c r="AB23" i="72"/>
  <c r="AB43" i="72"/>
  <c r="AB61" i="72" s="1"/>
  <c r="AB40" i="72"/>
  <c r="AB42" i="72"/>
  <c r="AB60" i="72" s="1"/>
  <c r="AB38" i="72"/>
  <c r="AB35" i="72"/>
  <c r="AB36" i="72"/>
  <c r="AB34" i="72"/>
  <c r="AB33" i="72"/>
  <c r="AB37" i="72"/>
  <c r="AY45" i="72"/>
  <c r="AY63" i="72" s="1"/>
  <c r="AY44" i="72"/>
  <c r="AY64" i="72" s="1"/>
  <c r="AY39" i="72"/>
  <c r="AY23" i="72"/>
  <c r="AY27" i="72"/>
  <c r="AY35" i="72"/>
  <c r="AY33" i="72"/>
  <c r="AY40" i="72"/>
  <c r="AY42" i="72"/>
  <c r="AY60" i="72" s="1"/>
  <c r="AY38" i="72"/>
  <c r="AY34" i="72"/>
  <c r="AY36" i="72"/>
  <c r="AY43" i="72"/>
  <c r="AY61" i="72" s="1"/>
  <c r="AY37" i="72"/>
  <c r="CA51" i="72"/>
  <c r="CA53" i="72" s="1"/>
  <c r="CA50" i="72"/>
  <c r="CA52" i="72" s="1"/>
  <c r="AP50" i="72"/>
  <c r="AP52" i="72" s="1"/>
  <c r="AP51" i="72"/>
  <c r="AP53" i="72" s="1"/>
  <c r="AU51" i="72"/>
  <c r="AU53" i="72" s="1"/>
  <c r="AU50" i="72"/>
  <c r="AU52" i="72" s="1"/>
  <c r="CI51" i="72"/>
  <c r="CI53" i="72" s="1"/>
  <c r="CI50" i="72"/>
  <c r="CI52" i="72" s="1"/>
  <c r="AX50" i="72"/>
  <c r="AX52" i="72" s="1"/>
  <c r="AX51" i="72"/>
  <c r="AX53" i="72" s="1"/>
  <c r="CH50" i="72"/>
  <c r="CH52" i="72" s="1"/>
  <c r="CH51" i="72"/>
  <c r="CH53" i="72" s="1"/>
  <c r="BL51" i="72"/>
  <c r="BL53" i="72" s="1"/>
  <c r="BL50" i="72"/>
  <c r="BL52" i="72" s="1"/>
  <c r="AI51" i="72"/>
  <c r="AI53" i="72" s="1"/>
  <c r="AI50" i="72"/>
  <c r="AI52" i="72" s="1"/>
  <c r="CB50" i="72"/>
  <c r="CB52" i="72" s="1"/>
  <c r="CB51" i="72"/>
  <c r="CB53" i="72" s="1"/>
  <c r="BN50" i="72"/>
  <c r="BN52" i="72" s="1"/>
  <c r="BN51" i="72"/>
  <c r="BN53" i="72" s="1"/>
  <c r="CJ51" i="72"/>
  <c r="CJ53" i="72" s="1"/>
  <c r="CJ50" i="72"/>
  <c r="CJ52" i="72" s="1"/>
  <c r="BG51" i="72"/>
  <c r="BG53" i="72" s="1"/>
  <c r="BG50" i="72"/>
  <c r="BG52" i="72" s="1"/>
  <c r="L51" i="72"/>
  <c r="L53" i="72" s="1"/>
  <c r="L50" i="72"/>
  <c r="L52" i="72" s="1"/>
  <c r="AF51" i="72"/>
  <c r="AF53" i="72" s="1"/>
  <c r="AF50" i="72"/>
  <c r="AF52" i="72" s="1"/>
  <c r="AL51" i="72"/>
  <c r="AL53" i="72" s="1"/>
  <c r="AL50" i="72"/>
  <c r="AL52" i="72" s="1"/>
  <c r="G50" i="72"/>
  <c r="G51" i="72"/>
  <c r="CM47" i="72"/>
  <c r="AP23" i="72"/>
  <c r="AP27" i="72"/>
  <c r="AP45" i="72"/>
  <c r="AP63" i="72" s="1"/>
  <c r="AP44" i="72"/>
  <c r="AP64" i="72" s="1"/>
  <c r="AP39" i="72"/>
  <c r="AP42" i="72"/>
  <c r="AP60" i="72" s="1"/>
  <c r="AP36" i="72"/>
  <c r="AP38" i="72"/>
  <c r="AP34" i="72"/>
  <c r="AP33" i="72"/>
  <c r="AP43" i="72"/>
  <c r="AP61" i="72" s="1"/>
  <c r="AP40" i="72"/>
  <c r="AP35" i="72"/>
  <c r="AP37" i="72"/>
  <c r="J45" i="72"/>
  <c r="J63" i="72" s="1"/>
  <c r="J23" i="72"/>
  <c r="J27" i="72"/>
  <c r="J39" i="72"/>
  <c r="J44" i="72"/>
  <c r="J64" i="72" s="1"/>
  <c r="J36" i="72"/>
  <c r="J37" i="72"/>
  <c r="J42" i="72"/>
  <c r="J60" i="72" s="1"/>
  <c r="J34" i="72"/>
  <c r="J40" i="72"/>
  <c r="J38" i="72"/>
  <c r="J43" i="72"/>
  <c r="J61" i="72" s="1"/>
  <c r="J35" i="72"/>
  <c r="AW44" i="72"/>
  <c r="AW64" i="72" s="1"/>
  <c r="AW27" i="72"/>
  <c r="AW39" i="72"/>
  <c r="AW45" i="72"/>
  <c r="AW63" i="72" s="1"/>
  <c r="AW23" i="72"/>
  <c r="AW40" i="72"/>
  <c r="AW38" i="72"/>
  <c r="AW42" i="72"/>
  <c r="AW60" i="72" s="1"/>
  <c r="AW36" i="72"/>
  <c r="AW43" i="72"/>
  <c r="AW61" i="72" s="1"/>
  <c r="AW34" i="72"/>
  <c r="AW37" i="72"/>
  <c r="AW33" i="72"/>
  <c r="AW35" i="72"/>
  <c r="BT45" i="72"/>
  <c r="BT63" i="72" s="1"/>
  <c r="BT27" i="72"/>
  <c r="BT44" i="72"/>
  <c r="BT64" i="72" s="1"/>
  <c r="BT39" i="72"/>
  <c r="BT23" i="72"/>
  <c r="BT42" i="72"/>
  <c r="BT60" i="72" s="1"/>
  <c r="BT33" i="72"/>
  <c r="BT40" i="72"/>
  <c r="BT38" i="72"/>
  <c r="BT37" i="72"/>
  <c r="BT34" i="72"/>
  <c r="BT43" i="72"/>
  <c r="BT61" i="72" s="1"/>
  <c r="BT35" i="72"/>
  <c r="BT36" i="72"/>
  <c r="H45" i="72"/>
  <c r="H63" i="72" s="1"/>
  <c r="H27" i="72"/>
  <c r="H44" i="72"/>
  <c r="H64" i="72" s="1"/>
  <c r="H39" i="72"/>
  <c r="H23" i="72"/>
  <c r="H42" i="72"/>
  <c r="H60" i="72" s="1"/>
  <c r="H36" i="72"/>
  <c r="H40" i="72"/>
  <c r="H38" i="72"/>
  <c r="H37" i="72"/>
  <c r="H34" i="72"/>
  <c r="H43" i="72"/>
  <c r="H61" i="72" s="1"/>
  <c r="H35" i="72"/>
  <c r="AE23" i="72"/>
  <c r="AE39" i="72"/>
  <c r="AE45" i="72"/>
  <c r="AE63" i="72" s="1"/>
  <c r="AE27" i="72"/>
  <c r="AE44" i="72"/>
  <c r="AE64" i="72" s="1"/>
  <c r="AE43" i="72"/>
  <c r="AE61" i="72" s="1"/>
  <c r="AE37" i="72"/>
  <c r="AE33" i="72"/>
  <c r="AE35" i="72"/>
  <c r="AE40" i="72"/>
  <c r="AE42" i="72"/>
  <c r="AE60" i="72" s="1"/>
  <c r="AE38" i="72"/>
  <c r="AE34" i="72"/>
  <c r="AE36" i="72"/>
  <c r="AT45" i="72"/>
  <c r="AT63" i="72" s="1"/>
  <c r="AT23" i="72"/>
  <c r="AT27" i="72"/>
  <c r="AT44" i="72"/>
  <c r="AT64" i="72" s="1"/>
  <c r="AT39" i="72"/>
  <c r="AT38" i="72"/>
  <c r="AT36" i="72"/>
  <c r="AT34" i="72"/>
  <c r="AT43" i="72"/>
  <c r="AT61" i="72" s="1"/>
  <c r="AT42" i="72"/>
  <c r="AT60" i="72" s="1"/>
  <c r="AT37" i="72"/>
  <c r="AT33" i="72"/>
  <c r="AT35" i="72"/>
  <c r="AT40" i="72"/>
  <c r="BI39" i="72"/>
  <c r="BI27" i="72"/>
  <c r="BI45" i="72"/>
  <c r="BI63" i="72" s="1"/>
  <c r="BI44" i="72"/>
  <c r="BI64" i="72" s="1"/>
  <c r="BI23" i="72"/>
  <c r="BI35" i="72"/>
  <c r="BI33" i="72"/>
  <c r="BI42" i="72"/>
  <c r="BI60" i="72" s="1"/>
  <c r="BI40" i="72"/>
  <c r="BI38" i="72"/>
  <c r="BI36" i="72"/>
  <c r="BI43" i="72"/>
  <c r="BI61" i="72" s="1"/>
  <c r="BI37" i="72"/>
  <c r="BI34" i="72"/>
  <c r="CF44" i="72"/>
  <c r="CF64" i="72" s="1"/>
  <c r="CF27" i="72"/>
  <c r="CF39" i="72"/>
  <c r="CF45" i="72"/>
  <c r="CF63" i="72" s="1"/>
  <c r="CF23" i="72"/>
  <c r="CF38" i="72"/>
  <c r="CF36" i="72"/>
  <c r="CF34" i="72"/>
  <c r="CF43" i="72"/>
  <c r="CF61" i="72" s="1"/>
  <c r="CF33" i="72"/>
  <c r="CF37" i="72"/>
  <c r="CF35" i="72"/>
  <c r="CF42" i="72"/>
  <c r="CF60" i="72" s="1"/>
  <c r="CF40" i="72"/>
  <c r="T44" i="72"/>
  <c r="T64" i="72" s="1"/>
  <c r="T27" i="72"/>
  <c r="T39" i="72"/>
  <c r="T45" i="72"/>
  <c r="T63" i="72" s="1"/>
  <c r="T23" i="72"/>
  <c r="T55" i="72" s="1"/>
  <c r="T42" i="72"/>
  <c r="T60" i="72" s="1"/>
  <c r="T33" i="72"/>
  <c r="T35" i="72"/>
  <c r="T40" i="72"/>
  <c r="T38" i="72"/>
  <c r="T37" i="72"/>
  <c r="T43" i="72"/>
  <c r="T61" i="72" s="1"/>
  <c r="T36" i="72"/>
  <c r="T34" i="72"/>
  <c r="AQ45" i="72"/>
  <c r="AQ63" i="72" s="1"/>
  <c r="AQ27" i="72"/>
  <c r="AQ44" i="72"/>
  <c r="AQ64" i="72" s="1"/>
  <c r="AQ23" i="72"/>
  <c r="AQ39" i="72"/>
  <c r="AQ37" i="72"/>
  <c r="AQ33" i="72"/>
  <c r="AQ40" i="72"/>
  <c r="AQ34" i="72"/>
  <c r="AQ38" i="72"/>
  <c r="AQ42" i="72"/>
  <c r="AQ60" i="72" s="1"/>
  <c r="AQ36" i="72"/>
  <c r="AQ43" i="72"/>
  <c r="AQ61" i="72" s="1"/>
  <c r="AQ35" i="72"/>
  <c r="I51" i="72"/>
  <c r="I53" i="72" s="1"/>
  <c r="I50" i="72"/>
  <c r="I52" i="72" s="1"/>
  <c r="AG50" i="72"/>
  <c r="AG52" i="72" s="1"/>
  <c r="AG51" i="72"/>
  <c r="AG53" i="72" s="1"/>
  <c r="AS51" i="72"/>
  <c r="AS53" i="72" s="1"/>
  <c r="AS50" i="72"/>
  <c r="AS52" i="72" s="1"/>
  <c r="B10" i="56"/>
  <c r="B10" i="91"/>
  <c r="AN50" i="72"/>
  <c r="AN52" i="72" s="1"/>
  <c r="AN51" i="72"/>
  <c r="AN53" i="72" s="1"/>
  <c r="K51" i="72"/>
  <c r="K53" i="72" s="1"/>
  <c r="K50" i="72"/>
  <c r="K52" i="72" s="1"/>
  <c r="AH23" i="72"/>
  <c r="AH45" i="72"/>
  <c r="AH63" i="72" s="1"/>
  <c r="AH27" i="72"/>
  <c r="AH39" i="72"/>
  <c r="AH44" i="72"/>
  <c r="AH64" i="72" s="1"/>
  <c r="AH43" i="72"/>
  <c r="AH61" i="72" s="1"/>
  <c r="AH34" i="72"/>
  <c r="AH33" i="72"/>
  <c r="AH42" i="72"/>
  <c r="AH60" i="72" s="1"/>
  <c r="AH36" i="72"/>
  <c r="AH40" i="72"/>
  <c r="AH37" i="72"/>
  <c r="AH38" i="72"/>
  <c r="AH35" i="72"/>
  <c r="BN45" i="72"/>
  <c r="BN63" i="72" s="1"/>
  <c r="BN23" i="72"/>
  <c r="BN27" i="72"/>
  <c r="BN39" i="72"/>
  <c r="BN44" i="72"/>
  <c r="BN64" i="72" s="1"/>
  <c r="BN40" i="72"/>
  <c r="BN37" i="72"/>
  <c r="BN38" i="72"/>
  <c r="BN43" i="72"/>
  <c r="BN61" i="72" s="1"/>
  <c r="BN34" i="72"/>
  <c r="BN42" i="72"/>
  <c r="BN60" i="72" s="1"/>
  <c r="BN33" i="72"/>
  <c r="BN36" i="72"/>
  <c r="BN35" i="72"/>
  <c r="AO45" i="72"/>
  <c r="AO63" i="72" s="1"/>
  <c r="AO27" i="72"/>
  <c r="AO44" i="72"/>
  <c r="AO64" i="72" s="1"/>
  <c r="AO39" i="72"/>
  <c r="AO23" i="72"/>
  <c r="AO43" i="72"/>
  <c r="AO61" i="72" s="1"/>
  <c r="AO34" i="72"/>
  <c r="AO37" i="72"/>
  <c r="AO33" i="72"/>
  <c r="AO42" i="72"/>
  <c r="AO60" i="72" s="1"/>
  <c r="AO35" i="72"/>
  <c r="AO40" i="72"/>
  <c r="AO36" i="72"/>
  <c r="AO38" i="72"/>
  <c r="BL23" i="72"/>
  <c r="BL39" i="72"/>
  <c r="BL45" i="72"/>
  <c r="BL63" i="72" s="1"/>
  <c r="BL27" i="72"/>
  <c r="BL44" i="72"/>
  <c r="BL64" i="72" s="1"/>
  <c r="BL37" i="72"/>
  <c r="BL40" i="72"/>
  <c r="BL38" i="72"/>
  <c r="BL35" i="72"/>
  <c r="BL34" i="72"/>
  <c r="BL43" i="72"/>
  <c r="BL61" i="72" s="1"/>
  <c r="BL33" i="72"/>
  <c r="BL42" i="72"/>
  <c r="BL60" i="72" s="1"/>
  <c r="BL36" i="72"/>
  <c r="CI23" i="72"/>
  <c r="CI44" i="72"/>
  <c r="CI64" i="72" s="1"/>
  <c r="CI45" i="72"/>
  <c r="CI63" i="72" s="1"/>
  <c r="CI39" i="72"/>
  <c r="CI27" i="72"/>
  <c r="CI38" i="72"/>
  <c r="CI34" i="72"/>
  <c r="CI36" i="72"/>
  <c r="CI43" i="72"/>
  <c r="CI61" i="72" s="1"/>
  <c r="CI37" i="72"/>
  <c r="CI42" i="72"/>
  <c r="CI60" i="72" s="1"/>
  <c r="CI40" i="72"/>
  <c r="CI35" i="72"/>
  <c r="CI33" i="72"/>
  <c r="W23" i="72"/>
  <c r="W44" i="72"/>
  <c r="W64" i="72" s="1"/>
  <c r="W45" i="72"/>
  <c r="W63" i="72" s="1"/>
  <c r="W39" i="72"/>
  <c r="W27" i="72"/>
  <c r="W37" i="72"/>
  <c r="W42" i="72"/>
  <c r="W60" i="72" s="1"/>
  <c r="W33" i="72"/>
  <c r="W40" i="72"/>
  <c r="W35" i="72"/>
  <c r="W38" i="72"/>
  <c r="W34" i="72"/>
  <c r="W43" i="72"/>
  <c r="W61" i="72" s="1"/>
  <c r="W36" i="72"/>
  <c r="AL45" i="72"/>
  <c r="AL63" i="72" s="1"/>
  <c r="AL27" i="72"/>
  <c r="AL23" i="72"/>
  <c r="AL39" i="72"/>
  <c r="AL44" i="72"/>
  <c r="AL64" i="72" s="1"/>
  <c r="AL37" i="72"/>
  <c r="AL42" i="72"/>
  <c r="AL60" i="72" s="1"/>
  <c r="AL33" i="72"/>
  <c r="AL35" i="72"/>
  <c r="AL40" i="72"/>
  <c r="AL43" i="72"/>
  <c r="AL61" i="72" s="1"/>
  <c r="AL38" i="72"/>
  <c r="AL36" i="72"/>
  <c r="AL34" i="72"/>
  <c r="BA23" i="72"/>
  <c r="BA44" i="72"/>
  <c r="BA64" i="72" s="1"/>
  <c r="BA27" i="72"/>
  <c r="BA39" i="72"/>
  <c r="BA45" i="72"/>
  <c r="BA63" i="72" s="1"/>
  <c r="BA40" i="72"/>
  <c r="BA38" i="72"/>
  <c r="BA36" i="72"/>
  <c r="BA43" i="72"/>
  <c r="BA61" i="72" s="1"/>
  <c r="BA34" i="72"/>
  <c r="BA37" i="72"/>
  <c r="BA35" i="72"/>
  <c r="BA33" i="72"/>
  <c r="BA42" i="72"/>
  <c r="BA60" i="72" s="1"/>
  <c r="BX39" i="72"/>
  <c r="BX23" i="72"/>
  <c r="BX45" i="72"/>
  <c r="BX63" i="72" s="1"/>
  <c r="BX44" i="72"/>
  <c r="BX64" i="72" s="1"/>
  <c r="BX27" i="72"/>
  <c r="BX36" i="72"/>
  <c r="BX37" i="72"/>
  <c r="BX34" i="72"/>
  <c r="BX33" i="72"/>
  <c r="BX43" i="72"/>
  <c r="BX61" i="72" s="1"/>
  <c r="BX40" i="72"/>
  <c r="BX42" i="72"/>
  <c r="BX60" i="72" s="1"/>
  <c r="BX38" i="72"/>
  <c r="BX35" i="72"/>
  <c r="L39" i="72"/>
  <c r="L23" i="72"/>
  <c r="L45" i="72"/>
  <c r="L63" i="72" s="1"/>
  <c r="L44" i="72"/>
  <c r="L64" i="72" s="1"/>
  <c r="L27" i="72"/>
  <c r="L42" i="72"/>
  <c r="L60" i="72" s="1"/>
  <c r="L35" i="72"/>
  <c r="L36" i="72"/>
  <c r="L37" i="72"/>
  <c r="L34" i="72"/>
  <c r="L43" i="72"/>
  <c r="L61" i="72" s="1"/>
  <c r="L38" i="72"/>
  <c r="L40" i="72"/>
  <c r="AI45" i="72"/>
  <c r="AI63" i="72" s="1"/>
  <c r="AI39" i="72"/>
  <c r="AI23" i="72"/>
  <c r="AI27" i="72"/>
  <c r="AI44" i="72"/>
  <c r="AI64" i="72" s="1"/>
  <c r="AI43" i="72"/>
  <c r="AI61" i="72" s="1"/>
  <c r="AI37" i="72"/>
  <c r="AI33" i="72"/>
  <c r="AI42" i="72"/>
  <c r="AI60" i="72" s="1"/>
  <c r="AI38" i="72"/>
  <c r="AI34" i="72"/>
  <c r="AI40" i="72"/>
  <c r="AI36" i="72"/>
  <c r="AI35" i="72"/>
  <c r="P51" i="72"/>
  <c r="P53" i="72" s="1"/>
  <c r="P50" i="72"/>
  <c r="P52" i="72" s="1"/>
  <c r="BU50" i="72"/>
  <c r="BU52" i="72" s="1"/>
  <c r="BU51" i="72"/>
  <c r="BU53" i="72" s="1"/>
  <c r="AJ51" i="72"/>
  <c r="AJ53" i="72" s="1"/>
  <c r="AJ50" i="72"/>
  <c r="AJ52" i="72" s="1"/>
  <c r="M51" i="72"/>
  <c r="M53" i="72" s="1"/>
  <c r="M50" i="72"/>
  <c r="M52" i="72" s="1"/>
  <c r="AZ50" i="72"/>
  <c r="AZ52" i="72" s="1"/>
  <c r="AZ51" i="72"/>
  <c r="AZ53" i="72" s="1"/>
  <c r="W51" i="72"/>
  <c r="W53" i="72" s="1"/>
  <c r="W50" i="72"/>
  <c r="W52" i="72" s="1"/>
  <c r="AR51" i="72"/>
  <c r="AR53" i="72" s="1"/>
  <c r="AR50" i="72"/>
  <c r="AR52" i="72" s="1"/>
  <c r="CG51" i="72"/>
  <c r="CG53" i="72" s="1"/>
  <c r="CG50" i="72"/>
  <c r="CG52" i="72" s="1"/>
  <c r="BB51" i="72"/>
  <c r="BB53" i="72" s="1"/>
  <c r="BB50" i="72"/>
  <c r="BB52" i="72" s="1"/>
  <c r="BF51" i="72"/>
  <c r="BF53" i="72" s="1"/>
  <c r="BF50" i="72"/>
  <c r="BF52" i="72" s="1"/>
  <c r="AM51" i="72"/>
  <c r="AM53" i="72" s="1"/>
  <c r="AM50" i="72"/>
  <c r="AM52" i="72" s="1"/>
  <c r="AD51" i="72"/>
  <c r="AD53" i="72" s="1"/>
  <c r="AD50" i="72"/>
  <c r="AD52" i="72" s="1"/>
  <c r="J50" i="72"/>
  <c r="J52" i="72" s="1"/>
  <c r="J51" i="72"/>
  <c r="J53" i="72" s="1"/>
  <c r="X50" i="72"/>
  <c r="X52" i="72" s="1"/>
  <c r="X51" i="72"/>
  <c r="X53" i="72" s="1"/>
  <c r="CD51" i="72"/>
  <c r="CD53" i="72" s="1"/>
  <c r="CD50" i="72"/>
  <c r="CD52" i="72" s="1"/>
  <c r="BK51" i="72"/>
  <c r="BK53" i="72" s="1"/>
  <c r="BK50" i="72"/>
  <c r="BK52" i="72" s="1"/>
  <c r="CL27" i="72"/>
  <c r="CL23" i="72"/>
  <c r="CL45" i="72"/>
  <c r="CL63" i="72" s="1"/>
  <c r="CL44" i="72"/>
  <c r="CL64" i="72" s="1"/>
  <c r="CL39" i="72"/>
  <c r="CL40" i="72"/>
  <c r="CL37" i="72"/>
  <c r="CL35" i="72"/>
  <c r="CL33" i="72"/>
  <c r="CL34" i="72"/>
  <c r="CL43" i="72"/>
  <c r="CL61" i="72" s="1"/>
  <c r="CL36" i="72"/>
  <c r="CL42" i="72"/>
  <c r="CL60" i="72" s="1"/>
  <c r="CL38" i="72"/>
  <c r="AG44" i="72"/>
  <c r="AG64" i="72" s="1"/>
  <c r="AG23" i="72"/>
  <c r="AG39" i="72"/>
  <c r="AG45" i="72"/>
  <c r="AG63" i="72" s="1"/>
  <c r="AG27" i="72"/>
  <c r="AG38" i="72"/>
  <c r="AG43" i="72"/>
  <c r="AG61" i="72" s="1"/>
  <c r="AG33" i="72"/>
  <c r="AG42" i="72"/>
  <c r="AG60" i="72" s="1"/>
  <c r="AG35" i="72"/>
  <c r="AG34" i="72"/>
  <c r="AG37" i="72"/>
  <c r="AG40" i="72"/>
  <c r="AG36" i="72"/>
  <c r="BD45" i="72"/>
  <c r="BD63" i="72" s="1"/>
  <c r="BD23" i="72"/>
  <c r="BD44" i="72"/>
  <c r="BD64" i="72" s="1"/>
  <c r="BD39" i="72"/>
  <c r="BD27" i="72"/>
  <c r="BD43" i="72"/>
  <c r="BD61" i="72" s="1"/>
  <c r="BD36" i="72"/>
  <c r="BD42" i="72"/>
  <c r="BD60" i="72" s="1"/>
  <c r="BD33" i="72"/>
  <c r="BD40" i="72"/>
  <c r="BD38" i="72"/>
  <c r="BD35" i="72"/>
  <c r="BD37" i="72"/>
  <c r="BD34" i="72"/>
  <c r="CA23" i="72"/>
  <c r="CA27" i="72"/>
  <c r="CA44" i="72"/>
  <c r="CA64" i="72" s="1"/>
  <c r="CA45" i="72"/>
  <c r="CA63" i="72" s="1"/>
  <c r="CA39" i="72"/>
  <c r="CA37" i="72"/>
  <c r="CA35" i="72"/>
  <c r="CA33" i="72"/>
  <c r="CA40" i="72"/>
  <c r="CA42" i="72"/>
  <c r="CA60" i="72" s="1"/>
  <c r="CA38" i="72"/>
  <c r="CA34" i="72"/>
  <c r="CA36" i="72"/>
  <c r="CA43" i="72"/>
  <c r="CA61" i="72" s="1"/>
  <c r="O23" i="72"/>
  <c r="O44" i="72"/>
  <c r="O64" i="72" s="1"/>
  <c r="O45" i="72"/>
  <c r="O63" i="72" s="1"/>
  <c r="O39" i="72"/>
  <c r="O27" i="72"/>
  <c r="O40" i="72"/>
  <c r="O34" i="72"/>
  <c r="O38" i="72"/>
  <c r="O36" i="72"/>
  <c r="O43" i="72"/>
  <c r="O61" i="72" s="1"/>
  <c r="O37" i="72"/>
  <c r="O35" i="72"/>
  <c r="O42" i="72"/>
  <c r="O60" i="72" s="1"/>
  <c r="AD27" i="72"/>
  <c r="AD45" i="72"/>
  <c r="AD63" i="72" s="1"/>
  <c r="AD23" i="72"/>
  <c r="AD39" i="72"/>
  <c r="AD44" i="72"/>
  <c r="AD64" i="72" s="1"/>
  <c r="AD42" i="72"/>
  <c r="AD60" i="72" s="1"/>
  <c r="AD37" i="72"/>
  <c r="AD33" i="72"/>
  <c r="AD40" i="72"/>
  <c r="AD35" i="72"/>
  <c r="AD38" i="72"/>
  <c r="AD36" i="72"/>
  <c r="AD34" i="72"/>
  <c r="AD43" i="72"/>
  <c r="AD61" i="72" s="1"/>
  <c r="AS39" i="72"/>
  <c r="AS23" i="72"/>
  <c r="AS45" i="72"/>
  <c r="AS63" i="72" s="1"/>
  <c r="AS44" i="72"/>
  <c r="AS64" i="72" s="1"/>
  <c r="AS27" i="72"/>
  <c r="AS35" i="72"/>
  <c r="AS33" i="72"/>
  <c r="AS42" i="72"/>
  <c r="AS60" i="72" s="1"/>
  <c r="AS40" i="72"/>
  <c r="AS38" i="72"/>
  <c r="AS36" i="72"/>
  <c r="AS43" i="72"/>
  <c r="AS61" i="72" s="1"/>
  <c r="AS37" i="72"/>
  <c r="AS34" i="72"/>
  <c r="BP44" i="72"/>
  <c r="BP64" i="72" s="1"/>
  <c r="BP23" i="72"/>
  <c r="BP39" i="72"/>
  <c r="BP45" i="72"/>
  <c r="BP63" i="72" s="1"/>
  <c r="BP27" i="72"/>
  <c r="BP40" i="72"/>
  <c r="BP38" i="72"/>
  <c r="BP36" i="72"/>
  <c r="BP37" i="72"/>
  <c r="BP42" i="72"/>
  <c r="BP60" i="72" s="1"/>
  <c r="BP33" i="72"/>
  <c r="BP35" i="72"/>
  <c r="BP34" i="72"/>
  <c r="BP43" i="72"/>
  <c r="BP61" i="72" s="1"/>
  <c r="B39" i="86"/>
  <c r="B40" i="86"/>
  <c r="CM39" i="72"/>
  <c r="CM27" i="72"/>
  <c r="CM45" i="72"/>
  <c r="CM23" i="72"/>
  <c r="CM44" i="72"/>
  <c r="AA45" i="72"/>
  <c r="AA63" i="72" s="1"/>
  <c r="AA23" i="72"/>
  <c r="AA39" i="72"/>
  <c r="AA27" i="72"/>
  <c r="AA44" i="72"/>
  <c r="AA64" i="72" s="1"/>
  <c r="AA40" i="72"/>
  <c r="AA36" i="72"/>
  <c r="AA37" i="72"/>
  <c r="AA33" i="72"/>
  <c r="AA43" i="72"/>
  <c r="AA61" i="72" s="1"/>
  <c r="AA38" i="72"/>
  <c r="AA35" i="72"/>
  <c r="AA34" i="72"/>
  <c r="AA42" i="72"/>
  <c r="AA60" i="72" s="1"/>
  <c r="CC51" i="72"/>
  <c r="CC53" i="72" s="1"/>
  <c r="CC50" i="72"/>
  <c r="CC52" i="72" s="1"/>
  <c r="BW51" i="72"/>
  <c r="BW53" i="72" s="1"/>
  <c r="BW50" i="72"/>
  <c r="BW52" i="72" s="1"/>
  <c r="BF27" i="72"/>
  <c r="BF45" i="72"/>
  <c r="BF63" i="72" s="1"/>
  <c r="BF23" i="72"/>
  <c r="BF44" i="72"/>
  <c r="BF64" i="72" s="1"/>
  <c r="BF39" i="72"/>
  <c r="BF38" i="72"/>
  <c r="BF35" i="72"/>
  <c r="BF42" i="72"/>
  <c r="BF60" i="72" s="1"/>
  <c r="BF43" i="72"/>
  <c r="BF61" i="72" s="1"/>
  <c r="BF36" i="72"/>
  <c r="BF40" i="72"/>
  <c r="BF33" i="72"/>
  <c r="BF34" i="72"/>
  <c r="BF37" i="72"/>
  <c r="BS51" i="72"/>
  <c r="BS53" i="72" s="1"/>
  <c r="BS50" i="72"/>
  <c r="BS52" i="72" s="1"/>
  <c r="AH50" i="72"/>
  <c r="AH52" i="72" s="1"/>
  <c r="AH51" i="72"/>
  <c r="AH53" i="72" s="1"/>
  <c r="V51" i="72"/>
  <c r="V53" i="72" s="1"/>
  <c r="V50" i="72"/>
  <c r="V52" i="72" s="1"/>
  <c r="Z27" i="72"/>
  <c r="Z45" i="72"/>
  <c r="Z63" i="72" s="1"/>
  <c r="Z23" i="72"/>
  <c r="Z44" i="72"/>
  <c r="Z64" i="72" s="1"/>
  <c r="Z39" i="72"/>
  <c r="Z34" i="72"/>
  <c r="Z42" i="72"/>
  <c r="Z60" i="72" s="1"/>
  <c r="Z36" i="72"/>
  <c r="Z40" i="72"/>
  <c r="Z37" i="72"/>
  <c r="Z38" i="72"/>
  <c r="Z35" i="72"/>
  <c r="Z43" i="72"/>
  <c r="Z61" i="72" s="1"/>
  <c r="Z33" i="72"/>
  <c r="CK45" i="72"/>
  <c r="CK63" i="72" s="1"/>
  <c r="CK23" i="72"/>
  <c r="CK44" i="72"/>
  <c r="CK64" i="72" s="1"/>
  <c r="CK39" i="72"/>
  <c r="CK27" i="72"/>
  <c r="CK38" i="72"/>
  <c r="CK36" i="72"/>
  <c r="CK43" i="72"/>
  <c r="CK61" i="72" s="1"/>
  <c r="CK34" i="72"/>
  <c r="CK35" i="72"/>
  <c r="CK42" i="72"/>
  <c r="CK60" i="72" s="1"/>
  <c r="CK37" i="72"/>
  <c r="CK40" i="72"/>
  <c r="CK33" i="72"/>
  <c r="Y45" i="72"/>
  <c r="Y63" i="72" s="1"/>
  <c r="Y23" i="72"/>
  <c r="Y44" i="72"/>
  <c r="Y64" i="72" s="1"/>
  <c r="Y39" i="72"/>
  <c r="Y27" i="72"/>
  <c r="Y36" i="72"/>
  <c r="Y43" i="72"/>
  <c r="Y61" i="72" s="1"/>
  <c r="Y34" i="72"/>
  <c r="Y37" i="72"/>
  <c r="Y33" i="72"/>
  <c r="Y42" i="72"/>
  <c r="Y60" i="72" s="1"/>
  <c r="Y35" i="72"/>
  <c r="Y40" i="72"/>
  <c r="Y38" i="72"/>
  <c r="AV27" i="72"/>
  <c r="AV39" i="72"/>
  <c r="AV45" i="72"/>
  <c r="AV63" i="72" s="1"/>
  <c r="AV23" i="72"/>
  <c r="AV44" i="72"/>
  <c r="AV64" i="72" s="1"/>
  <c r="AV34" i="72"/>
  <c r="AV43" i="72"/>
  <c r="AV61" i="72" s="1"/>
  <c r="AV33" i="72"/>
  <c r="AV42" i="72"/>
  <c r="AV60" i="72" s="1"/>
  <c r="AV36" i="72"/>
  <c r="AV37" i="72"/>
  <c r="AV40" i="72"/>
  <c r="AV38" i="72"/>
  <c r="AV35" i="72"/>
  <c r="BS23" i="72"/>
  <c r="BS27" i="72"/>
  <c r="BS44" i="72"/>
  <c r="BS64" i="72" s="1"/>
  <c r="BS39" i="72"/>
  <c r="BS45" i="72"/>
  <c r="BS63" i="72" s="1"/>
  <c r="BS43" i="72"/>
  <c r="BS61" i="72" s="1"/>
  <c r="BS37" i="72"/>
  <c r="BS35" i="72"/>
  <c r="BS42" i="72"/>
  <c r="BS60" i="72" s="1"/>
  <c r="BS38" i="72"/>
  <c r="BS34" i="72"/>
  <c r="BS40" i="72"/>
  <c r="BS36" i="72"/>
  <c r="BS33" i="72"/>
  <c r="CH45" i="72"/>
  <c r="CH63" i="72" s="1"/>
  <c r="CH23" i="72"/>
  <c r="CH27" i="72"/>
  <c r="CH44" i="72"/>
  <c r="CH64" i="72" s="1"/>
  <c r="CH39" i="72"/>
  <c r="CH36" i="72"/>
  <c r="CH34" i="72"/>
  <c r="CH33" i="72"/>
  <c r="CH42" i="72"/>
  <c r="CH60" i="72" s="1"/>
  <c r="CH35" i="72"/>
  <c r="CH40" i="72"/>
  <c r="CH43" i="72"/>
  <c r="CH61" i="72" s="1"/>
  <c r="CH38" i="72"/>
  <c r="CH37" i="72"/>
  <c r="V23" i="72"/>
  <c r="V45" i="72"/>
  <c r="V63" i="72" s="1"/>
  <c r="V27" i="72"/>
  <c r="V44" i="72"/>
  <c r="V64" i="72" s="1"/>
  <c r="V39" i="72"/>
  <c r="V36" i="72"/>
  <c r="V34" i="72"/>
  <c r="V37" i="72"/>
  <c r="V42" i="72"/>
  <c r="V60" i="72" s="1"/>
  <c r="V33" i="72"/>
  <c r="V40" i="72"/>
  <c r="V43" i="72"/>
  <c r="V61" i="72" s="1"/>
  <c r="V38" i="72"/>
  <c r="V35" i="72"/>
  <c r="AK27" i="72"/>
  <c r="AK44" i="72"/>
  <c r="AK64" i="72" s="1"/>
  <c r="AK23" i="72"/>
  <c r="AK39" i="72"/>
  <c r="AK45" i="72"/>
  <c r="AK63" i="72" s="1"/>
  <c r="AK42" i="72"/>
  <c r="AK60" i="72" s="1"/>
  <c r="AK38" i="72"/>
  <c r="AK40" i="72"/>
  <c r="AK35" i="72"/>
  <c r="AK37" i="72"/>
  <c r="AK36" i="72"/>
  <c r="AK34" i="72"/>
  <c r="AK33" i="72"/>
  <c r="AK43" i="72"/>
  <c r="AK61" i="72" s="1"/>
  <c r="BH39" i="72"/>
  <c r="BH27" i="72"/>
  <c r="BH45" i="72"/>
  <c r="BH63" i="72" s="1"/>
  <c r="BH44" i="72"/>
  <c r="BH64" i="72" s="1"/>
  <c r="BH23" i="72"/>
  <c r="BH34" i="72"/>
  <c r="BH40" i="72"/>
  <c r="BH43" i="72"/>
  <c r="BH61" i="72" s="1"/>
  <c r="BH38" i="72"/>
  <c r="BH42" i="72"/>
  <c r="BH60" i="72" s="1"/>
  <c r="BH33" i="72"/>
  <c r="BH36" i="72"/>
  <c r="BH35" i="72"/>
  <c r="BH37" i="72"/>
  <c r="CE45" i="72"/>
  <c r="CE63" i="72" s="1"/>
  <c r="CE44" i="72"/>
  <c r="CE64" i="72" s="1"/>
  <c r="CE23" i="72"/>
  <c r="CE39" i="72"/>
  <c r="CE27" i="72"/>
  <c r="CE43" i="72"/>
  <c r="CE61" i="72" s="1"/>
  <c r="CE37" i="72"/>
  <c r="CE35" i="72"/>
  <c r="CE33" i="72"/>
  <c r="CE40" i="72"/>
  <c r="CE42" i="72"/>
  <c r="CE60" i="72" s="1"/>
  <c r="CE36" i="72"/>
  <c r="CE38" i="72"/>
  <c r="CE34" i="72"/>
  <c r="S45" i="72"/>
  <c r="S63" i="72" s="1"/>
  <c r="S44" i="72"/>
  <c r="S64" i="72" s="1"/>
  <c r="S23" i="72"/>
  <c r="S39" i="72"/>
  <c r="S27" i="72"/>
  <c r="S35" i="72"/>
  <c r="S40" i="72"/>
  <c r="S34" i="72"/>
  <c r="S38" i="72"/>
  <c r="S36" i="72"/>
  <c r="S37" i="72"/>
  <c r="S42" i="72"/>
  <c r="S60" i="72" s="1"/>
  <c r="S43" i="72"/>
  <c r="S61" i="72" s="1"/>
  <c r="AY50" i="72"/>
  <c r="AY52" i="72" s="1"/>
  <c r="AY51" i="72"/>
  <c r="AY53" i="72" s="1"/>
  <c r="CE51" i="72"/>
  <c r="CE53" i="72" s="1"/>
  <c r="CE50" i="72"/>
  <c r="CE52" i="72" s="1"/>
  <c r="CL51" i="72"/>
  <c r="CL53" i="72" s="1"/>
  <c r="CL50" i="72"/>
  <c r="CL52" i="72" s="1"/>
  <c r="BR50" i="72"/>
  <c r="BR52" i="72" s="1"/>
  <c r="BR51" i="72"/>
  <c r="BR53" i="72" s="1"/>
  <c r="AE51" i="72"/>
  <c r="AE53" i="72" s="1"/>
  <c r="AE50" i="72"/>
  <c r="AE52" i="72" s="1"/>
  <c r="CF51" i="72"/>
  <c r="CF53" i="72" s="1"/>
  <c r="CF50" i="72"/>
  <c r="CF52" i="72" s="1"/>
  <c r="BH50" i="72"/>
  <c r="BH52" i="72" s="1"/>
  <c r="BH51" i="72"/>
  <c r="BH53" i="72" s="1"/>
  <c r="BC51" i="72"/>
  <c r="BC53" i="72" s="1"/>
  <c r="BC50" i="72"/>
  <c r="BC52" i="72" s="1"/>
  <c r="R51" i="72"/>
  <c r="R53" i="72" s="1"/>
  <c r="R50" i="72"/>
  <c r="R52" i="72" s="1"/>
  <c r="BX50" i="72"/>
  <c r="BX52" i="72" s="1"/>
  <c r="BX51" i="72"/>
  <c r="BX53" i="72" s="1"/>
  <c r="BA51" i="72"/>
  <c r="BA53" i="72" s="1"/>
  <c r="BA50" i="72"/>
  <c r="BA52" i="72" s="1"/>
  <c r="BM51" i="72"/>
  <c r="BM53" i="72" s="1"/>
  <c r="BM50" i="72"/>
  <c r="BM52" i="72" s="1"/>
  <c r="CM30" i="72"/>
  <c r="CM28" i="72" s="1"/>
  <c r="CM24" i="72"/>
  <c r="CD45" i="72"/>
  <c r="CD63" i="72" s="1"/>
  <c r="CD27" i="72"/>
  <c r="CD23" i="72"/>
  <c r="CD44" i="72"/>
  <c r="CD64" i="72" s="1"/>
  <c r="CD39" i="72"/>
  <c r="CD43" i="72"/>
  <c r="CD61" i="72" s="1"/>
  <c r="CD37" i="72"/>
  <c r="CD34" i="72"/>
  <c r="CD42" i="72"/>
  <c r="CD60" i="72" s="1"/>
  <c r="CD35" i="72"/>
  <c r="CD33" i="72"/>
  <c r="CD38" i="72"/>
  <c r="CD40" i="72"/>
  <c r="CD36" i="72"/>
  <c r="CC44" i="72"/>
  <c r="CC64" i="72" s="1"/>
  <c r="CC27" i="72"/>
  <c r="CC39" i="72"/>
  <c r="CC45" i="72"/>
  <c r="CC63" i="72" s="1"/>
  <c r="CC23" i="72"/>
  <c r="CC43" i="72"/>
  <c r="CC61" i="72" s="1"/>
  <c r="CC34" i="72"/>
  <c r="CC42" i="72"/>
  <c r="CC60" i="72" s="1"/>
  <c r="CC40" i="72"/>
  <c r="CC38" i="72"/>
  <c r="CC36" i="72"/>
  <c r="CC33" i="72"/>
  <c r="CC35" i="72"/>
  <c r="CC37" i="72"/>
  <c r="Q44" i="72"/>
  <c r="Q64" i="72" s="1"/>
  <c r="Q27" i="72"/>
  <c r="Q39" i="72"/>
  <c r="Q45" i="72"/>
  <c r="Q63" i="72" s="1"/>
  <c r="Q23" i="72"/>
  <c r="Q37" i="72"/>
  <c r="Q35" i="72"/>
  <c r="Q42" i="72"/>
  <c r="Q60" i="72" s="1"/>
  <c r="Q40" i="72"/>
  <c r="Q38" i="72"/>
  <c r="Q34" i="72"/>
  <c r="Q43" i="72"/>
  <c r="Q61" i="72" s="1"/>
  <c r="Q36" i="72"/>
  <c r="AN45" i="72"/>
  <c r="AN63" i="72" s="1"/>
  <c r="AN27" i="72"/>
  <c r="AN44" i="72"/>
  <c r="AN64" i="72" s="1"/>
  <c r="AN39" i="72"/>
  <c r="AN23" i="72"/>
  <c r="AN37" i="72"/>
  <c r="AN35" i="72"/>
  <c r="AN34" i="72"/>
  <c r="AN43" i="72"/>
  <c r="AN61" i="72" s="1"/>
  <c r="AN36" i="72"/>
  <c r="AN42" i="72"/>
  <c r="AN60" i="72" s="1"/>
  <c r="AN33" i="72"/>
  <c r="AN40" i="72"/>
  <c r="AN38" i="72"/>
  <c r="BK23" i="72"/>
  <c r="BK39" i="72"/>
  <c r="BK27" i="72"/>
  <c r="BK44" i="72"/>
  <c r="BK64" i="72" s="1"/>
  <c r="BK45" i="72"/>
  <c r="BK63" i="72" s="1"/>
  <c r="BK36" i="72"/>
  <c r="BK43" i="72"/>
  <c r="BK61" i="72" s="1"/>
  <c r="BK37" i="72"/>
  <c r="BK35" i="72"/>
  <c r="BK33" i="72"/>
  <c r="BK40" i="72"/>
  <c r="BK42" i="72"/>
  <c r="BK60" i="72" s="1"/>
  <c r="BK38" i="72"/>
  <c r="BK34" i="72"/>
  <c r="BZ23" i="72"/>
  <c r="BZ45" i="72"/>
  <c r="BZ63" i="72" s="1"/>
  <c r="BZ27" i="72"/>
  <c r="BZ44" i="72"/>
  <c r="BZ64" i="72" s="1"/>
  <c r="BZ39" i="72"/>
  <c r="BZ33" i="72"/>
  <c r="BZ40" i="72"/>
  <c r="BZ35" i="72"/>
  <c r="BZ38" i="72"/>
  <c r="BZ36" i="72"/>
  <c r="BZ34" i="72"/>
  <c r="BZ43" i="72"/>
  <c r="BZ61" i="72" s="1"/>
  <c r="BZ42" i="72"/>
  <c r="BZ60" i="72" s="1"/>
  <c r="BZ37" i="72"/>
  <c r="N45" i="72"/>
  <c r="N63" i="72" s="1"/>
  <c r="N23" i="72"/>
  <c r="N27" i="72"/>
  <c r="N44" i="72"/>
  <c r="N64" i="72" s="1"/>
  <c r="N39" i="72"/>
  <c r="N36" i="72"/>
  <c r="N34" i="72"/>
  <c r="N43" i="72"/>
  <c r="N61" i="72" s="1"/>
  <c r="N42" i="72"/>
  <c r="N60" i="72" s="1"/>
  <c r="N37" i="72"/>
  <c r="N35" i="72"/>
  <c r="N40" i="72"/>
  <c r="N38" i="72"/>
  <c r="AC39" i="72"/>
  <c r="AC27" i="72"/>
  <c r="AC45" i="72"/>
  <c r="AC63" i="72" s="1"/>
  <c r="AC44" i="72"/>
  <c r="AC64" i="72" s="1"/>
  <c r="AC23" i="72"/>
  <c r="AC42" i="72"/>
  <c r="AC60" i="72" s="1"/>
  <c r="AC40" i="72"/>
  <c r="AC38" i="72"/>
  <c r="AC43" i="72"/>
  <c r="AC61" i="72" s="1"/>
  <c r="AC37" i="72"/>
  <c r="AC36" i="72"/>
  <c r="AC34" i="72"/>
  <c r="AC33" i="72"/>
  <c r="AC35" i="72"/>
  <c r="AZ44" i="72"/>
  <c r="AZ64" i="72" s="1"/>
  <c r="AZ27" i="72"/>
  <c r="AZ39" i="72"/>
  <c r="AZ45" i="72"/>
  <c r="AZ63" i="72" s="1"/>
  <c r="AZ23" i="72"/>
  <c r="AZ43" i="72"/>
  <c r="AZ61" i="72" s="1"/>
  <c r="AZ34" i="72"/>
  <c r="AZ42" i="72"/>
  <c r="AZ60" i="72" s="1"/>
  <c r="AZ33" i="72"/>
  <c r="AZ35" i="72"/>
  <c r="AZ40" i="72"/>
  <c r="AZ36" i="72"/>
  <c r="AZ38" i="72"/>
  <c r="AZ37" i="72"/>
  <c r="BW45" i="72"/>
  <c r="BW63" i="72" s="1"/>
  <c r="BW27" i="72"/>
  <c r="BW23" i="72"/>
  <c r="BW44" i="72"/>
  <c r="BW64" i="72" s="1"/>
  <c r="BW39" i="72"/>
  <c r="BW36" i="72"/>
  <c r="BW43" i="72"/>
  <c r="BW61" i="72" s="1"/>
  <c r="BW37" i="72"/>
  <c r="BW33" i="72"/>
  <c r="BW40" i="72"/>
  <c r="BW34" i="72"/>
  <c r="BW35" i="72"/>
  <c r="BW38" i="72"/>
  <c r="BW42" i="72"/>
  <c r="BW60" i="72" s="1"/>
  <c r="K45" i="72"/>
  <c r="K63" i="72" s="1"/>
  <c r="K27" i="72"/>
  <c r="K23" i="72"/>
  <c r="K44" i="72"/>
  <c r="K64" i="72" s="1"/>
  <c r="K39" i="72"/>
  <c r="K35" i="72"/>
  <c r="K40" i="72"/>
  <c r="K42" i="72"/>
  <c r="K60" i="72" s="1"/>
  <c r="K38" i="72"/>
  <c r="K34" i="72"/>
  <c r="K37" i="72"/>
  <c r="K36" i="72"/>
  <c r="K43" i="72"/>
  <c r="K61" i="72" s="1"/>
  <c r="O51" i="72"/>
  <c r="O53" i="72" s="1"/>
  <c r="O50" i="72"/>
  <c r="O52" i="72" s="1"/>
  <c r="CK50" i="72"/>
  <c r="CK52" i="72" s="1"/>
  <c r="CK51" i="72"/>
  <c r="CK53" i="72" s="1"/>
  <c r="AC51" i="72"/>
  <c r="AC53" i="72" s="1"/>
  <c r="AC50" i="72"/>
  <c r="AC52" i="72" s="1"/>
  <c r="H51" i="72"/>
  <c r="H53" i="72" s="1"/>
  <c r="H50" i="72"/>
  <c r="H52" i="72" s="1"/>
  <c r="F10" i="81"/>
  <c r="D10" i="81"/>
  <c r="E10" i="81"/>
  <c r="C10" i="81"/>
  <c r="G10" i="81"/>
  <c r="E10" i="56"/>
  <c r="B6" i="57"/>
  <c r="C6" i="67" s="1"/>
  <c r="E6" i="67" s="1"/>
  <c r="F6" i="67" s="1"/>
  <c r="G6" i="67" s="1"/>
  <c r="H6" i="67" s="1"/>
  <c r="J11" i="60"/>
  <c r="P55" i="72" l="1"/>
  <c r="AN55" i="72"/>
  <c r="BG55" i="72"/>
  <c r="BU41" i="72"/>
  <c r="BU62" i="72" s="1"/>
  <c r="AM55" i="72"/>
  <c r="W55" i="72"/>
  <c r="BJ55" i="72"/>
  <c r="AS55" i="72"/>
  <c r="BP55" i="72"/>
  <c r="X41" i="72"/>
  <c r="X62" i="72" s="1"/>
  <c r="X65" i="72" s="1"/>
  <c r="BE55" i="72"/>
  <c r="L55" i="72"/>
  <c r="BN55" i="72"/>
  <c r="BS55" i="72"/>
  <c r="AI55" i="72"/>
  <c r="S55" i="72"/>
  <c r="BF55" i="72"/>
  <c r="AA41" i="72"/>
  <c r="AA62" i="72" s="1"/>
  <c r="AA65" i="72" s="1"/>
  <c r="CA55" i="72"/>
  <c r="AW55" i="72"/>
  <c r="J55" i="72"/>
  <c r="CD55" i="72"/>
  <c r="CL55" i="72"/>
  <c r="BA55" i="72"/>
  <c r="AJ41" i="72"/>
  <c r="AJ62" i="72" s="1"/>
  <c r="AJ65" i="72" s="1"/>
  <c r="AJ55" i="72"/>
  <c r="AU55" i="72"/>
  <c r="BC41" i="72"/>
  <c r="BC62" i="72" s="1"/>
  <c r="BC65" i="72" s="1"/>
  <c r="BC55" i="72"/>
  <c r="BU65" i="72"/>
  <c r="AY55" i="72"/>
  <c r="CB55" i="72"/>
  <c r="BZ41" i="72"/>
  <c r="BZ62" i="72" s="1"/>
  <c r="BZ65" i="72" s="1"/>
  <c r="BK55" i="72"/>
  <c r="CD41" i="72"/>
  <c r="CD62" i="72" s="1"/>
  <c r="CD65" i="72" s="1"/>
  <c r="V41" i="72"/>
  <c r="V62" i="72" s="1"/>
  <c r="V65" i="72" s="1"/>
  <c r="BS41" i="72"/>
  <c r="BS62" i="72" s="1"/>
  <c r="BS65" i="72" s="1"/>
  <c r="Z55" i="72"/>
  <c r="O41" i="72"/>
  <c r="O62" i="72" s="1"/>
  <c r="O65" i="72" s="1"/>
  <c r="L41" i="72"/>
  <c r="L62" i="72" s="1"/>
  <c r="L65" i="72" s="1"/>
  <c r="BX41" i="72"/>
  <c r="BX62" i="72" s="1"/>
  <c r="BX65" i="72" s="1"/>
  <c r="BN41" i="72"/>
  <c r="BN62" i="72" s="1"/>
  <c r="BN65" i="72" s="1"/>
  <c r="AT55" i="72"/>
  <c r="H55" i="72"/>
  <c r="BT41" i="72"/>
  <c r="BT62" i="72" s="1"/>
  <c r="BT65" i="72" s="1"/>
  <c r="BD55" i="72"/>
  <c r="BO41" i="72"/>
  <c r="BO62" i="72" s="1"/>
  <c r="BO65" i="72" s="1"/>
  <c r="CG55" i="72"/>
  <c r="CK41" i="72"/>
  <c r="CK62" i="72" s="1"/>
  <c r="CK65" i="72" s="1"/>
  <c r="BA41" i="72"/>
  <c r="BA62" i="72" s="1"/>
  <c r="BA65" i="72" s="1"/>
  <c r="BL41" i="72"/>
  <c r="BL62" i="72" s="1"/>
  <c r="BL65" i="72" s="1"/>
  <c r="G61" i="72"/>
  <c r="CM61" i="72" s="1"/>
  <c r="CM43" i="72"/>
  <c r="CM63" i="72"/>
  <c r="CB41" i="72"/>
  <c r="CB62" i="72" s="1"/>
  <c r="CB65" i="72" s="1"/>
  <c r="BV41" i="72"/>
  <c r="BV62" i="72" s="1"/>
  <c r="BV65" i="72" s="1"/>
  <c r="M41" i="72"/>
  <c r="M62" i="72" s="1"/>
  <c r="M65" i="72" s="1"/>
  <c r="BY41" i="72"/>
  <c r="BY62" i="72" s="1"/>
  <c r="BY65" i="72" s="1"/>
  <c r="AR41" i="72"/>
  <c r="AR62" i="72" s="1"/>
  <c r="AR65" i="72" s="1"/>
  <c r="R41" i="72"/>
  <c r="R62" i="72" s="1"/>
  <c r="R65" i="72" s="1"/>
  <c r="R55" i="72"/>
  <c r="AC41" i="72"/>
  <c r="AC62" i="72" s="1"/>
  <c r="AC65" i="72" s="1"/>
  <c r="AZ55" i="72"/>
  <c r="CC55" i="72"/>
  <c r="BH41" i="72"/>
  <c r="BH62" i="72" s="1"/>
  <c r="BH65" i="72" s="1"/>
  <c r="AK41" i="72"/>
  <c r="AK62" i="72" s="1"/>
  <c r="AK65" i="72" s="1"/>
  <c r="AV55" i="72"/>
  <c r="Y55" i="72"/>
  <c r="Z41" i="72"/>
  <c r="Z62" i="72" s="1"/>
  <c r="Z65" i="72" s="1"/>
  <c r="AD41" i="72"/>
  <c r="AD62" i="72" s="1"/>
  <c r="AD65" i="72" s="1"/>
  <c r="BD41" i="72"/>
  <c r="BD62" i="72" s="1"/>
  <c r="BD65" i="72" s="1"/>
  <c r="CL41" i="72"/>
  <c r="CL62" i="72" s="1"/>
  <c r="CL65" i="72" s="1"/>
  <c r="BL55" i="72"/>
  <c r="AO41" i="72"/>
  <c r="AO62" i="72" s="1"/>
  <c r="J41" i="72"/>
  <c r="J62" i="72" s="1"/>
  <c r="J65" i="72" s="1"/>
  <c r="AB55" i="72"/>
  <c r="CM38" i="72"/>
  <c r="M55" i="72"/>
  <c r="BJ41" i="72"/>
  <c r="BJ62" i="72" s="1"/>
  <c r="BJ65" i="72" s="1"/>
  <c r="X55" i="72"/>
  <c r="I41" i="72"/>
  <c r="I62" i="72" s="1"/>
  <c r="I65" i="72" s="1"/>
  <c r="N41" i="72"/>
  <c r="N62" i="72" s="1"/>
  <c r="N65" i="72" s="1"/>
  <c r="BH55" i="72"/>
  <c r="AK55" i="72"/>
  <c r="V55" i="72"/>
  <c r="CH41" i="72"/>
  <c r="CH62" i="72" s="1"/>
  <c r="CH65" i="72" s="1"/>
  <c r="AS41" i="72"/>
  <c r="AS62" i="72" s="1"/>
  <c r="AS65" i="72" s="1"/>
  <c r="O55" i="72"/>
  <c r="AG41" i="72"/>
  <c r="AG62" i="72" s="1"/>
  <c r="AG65" i="72" s="1"/>
  <c r="BX55" i="72"/>
  <c r="AL41" i="72"/>
  <c r="AL62" i="72" s="1"/>
  <c r="AL65" i="72" s="1"/>
  <c r="W41" i="72"/>
  <c r="W62" i="72" s="1"/>
  <c r="W65" i="72" s="1"/>
  <c r="AQ55" i="72"/>
  <c r="CF41" i="72"/>
  <c r="CF62" i="72" s="1"/>
  <c r="CF65" i="72" s="1"/>
  <c r="BI41" i="72"/>
  <c r="BI62" i="72" s="1"/>
  <c r="BI65" i="72" s="1"/>
  <c r="BT55" i="72"/>
  <c r="AW41" i="72"/>
  <c r="AW62" i="72" s="1"/>
  <c r="AW65" i="72" s="1"/>
  <c r="G53" i="72"/>
  <c r="CM51" i="72"/>
  <c r="AB41" i="72"/>
  <c r="AB62" i="72" s="1"/>
  <c r="AB65" i="72" s="1"/>
  <c r="G41" i="72"/>
  <c r="CM34" i="72"/>
  <c r="AX55" i="72"/>
  <c r="U41" i="72"/>
  <c r="U62" i="72" s="1"/>
  <c r="U65" i="72" s="1"/>
  <c r="U55" i="72"/>
  <c r="K41" i="72"/>
  <c r="K62" i="72" s="1"/>
  <c r="K65" i="72" s="1"/>
  <c r="AN41" i="72"/>
  <c r="AN62" i="72" s="1"/>
  <c r="AN65" i="72" s="1"/>
  <c r="Q55" i="72"/>
  <c r="S41" i="72"/>
  <c r="S62" i="72" s="1"/>
  <c r="S65" i="72" s="1"/>
  <c r="CE41" i="72"/>
  <c r="CE62" i="72" s="1"/>
  <c r="Y41" i="72"/>
  <c r="Y62" i="72" s="1"/>
  <c r="Y65" i="72" s="1"/>
  <c r="AA55" i="72"/>
  <c r="AD55" i="72"/>
  <c r="AG55" i="72"/>
  <c r="CI55" i="72"/>
  <c r="AO55" i="72"/>
  <c r="AH55" i="72"/>
  <c r="BI55" i="72"/>
  <c r="AE55" i="72"/>
  <c r="G52" i="72"/>
  <c r="CM52" i="72" s="1"/>
  <c r="CM50" i="72"/>
  <c r="CM35" i="72"/>
  <c r="AM41" i="72"/>
  <c r="AM62" i="72" s="1"/>
  <c r="AM65" i="72" s="1"/>
  <c r="BE41" i="72"/>
  <c r="BE62" i="72" s="1"/>
  <c r="BE65" i="72" s="1"/>
  <c r="BV55" i="72"/>
  <c r="AU41" i="72"/>
  <c r="AU62" i="72" s="1"/>
  <c r="AU65" i="72" s="1"/>
  <c r="BO55" i="72"/>
  <c r="AR55" i="72"/>
  <c r="AF41" i="72"/>
  <c r="AF62" i="72" s="1"/>
  <c r="AF65" i="72" s="1"/>
  <c r="G60" i="72"/>
  <c r="CM42" i="72"/>
  <c r="BW41" i="72"/>
  <c r="BW62" i="72" s="1"/>
  <c r="BW65" i="72" s="1"/>
  <c r="BW55" i="72"/>
  <c r="Q41" i="72"/>
  <c r="Q62" i="72" s="1"/>
  <c r="Q65" i="72" s="1"/>
  <c r="BP41" i="72"/>
  <c r="BP62" i="72" s="1"/>
  <c r="BP65" i="72" s="1"/>
  <c r="CA41" i="72"/>
  <c r="CA62" i="72" s="1"/>
  <c r="CA65" i="72" s="1"/>
  <c r="AL55" i="72"/>
  <c r="CI41" i="72"/>
  <c r="CI62" i="72" s="1"/>
  <c r="CI65" i="72" s="1"/>
  <c r="AH41" i="72"/>
  <c r="AH62" i="72" s="1"/>
  <c r="AH65" i="72" s="1"/>
  <c r="AQ41" i="72"/>
  <c r="AQ62" i="72" s="1"/>
  <c r="AQ65" i="72" s="1"/>
  <c r="CM33" i="72"/>
  <c r="CF55" i="72"/>
  <c r="AY41" i="72"/>
  <c r="AY62" i="72" s="1"/>
  <c r="AY65" i="72" s="1"/>
  <c r="CM37" i="72"/>
  <c r="BQ41" i="72"/>
  <c r="BQ62" i="72" s="1"/>
  <c r="BQ65" i="72" s="1"/>
  <c r="BB41" i="72"/>
  <c r="BB62" i="72" s="1"/>
  <c r="BB65" i="72" s="1"/>
  <c r="BB55" i="72"/>
  <c r="P41" i="72"/>
  <c r="P62" i="72" s="1"/>
  <c r="P65" i="72" s="1"/>
  <c r="BM41" i="72"/>
  <c r="BM62" i="72" s="1"/>
  <c r="BM65" i="72" s="1"/>
  <c r="BR41" i="72"/>
  <c r="BR62" i="72" s="1"/>
  <c r="BR65" i="72" s="1"/>
  <c r="CE65" i="72"/>
  <c r="CE55" i="72"/>
  <c r="BF41" i="72"/>
  <c r="BF62" i="72" s="1"/>
  <c r="BF65" i="72" s="1"/>
  <c r="AI41" i="72"/>
  <c r="AI62" i="72" s="1"/>
  <c r="AI65" i="72" s="1"/>
  <c r="AO65" i="72"/>
  <c r="T41" i="72"/>
  <c r="T62" i="72" s="1"/>
  <c r="T65" i="72" s="1"/>
  <c r="AT41" i="72"/>
  <c r="AT62" i="72" s="1"/>
  <c r="AT65" i="72" s="1"/>
  <c r="H41" i="72"/>
  <c r="H62" i="72" s="1"/>
  <c r="H65" i="72" s="1"/>
  <c r="CM36" i="72"/>
  <c r="BQ55" i="72"/>
  <c r="BG41" i="72"/>
  <c r="BG62" i="72" s="1"/>
  <c r="BG65" i="72" s="1"/>
  <c r="BZ55" i="72"/>
  <c r="K55" i="72"/>
  <c r="AZ41" i="72"/>
  <c r="AZ62" i="72" s="1"/>
  <c r="AZ65" i="72" s="1"/>
  <c r="AC55" i="72"/>
  <c r="N55" i="72"/>
  <c r="BK41" i="72"/>
  <c r="BK62" i="72" s="1"/>
  <c r="BK65" i="72" s="1"/>
  <c r="CC41" i="72"/>
  <c r="CC62" i="72" s="1"/>
  <c r="CC65" i="72" s="1"/>
  <c r="CH55" i="72"/>
  <c r="AV41" i="72"/>
  <c r="AV62" i="72" s="1"/>
  <c r="AV65" i="72" s="1"/>
  <c r="CK55" i="72"/>
  <c r="AE41" i="72"/>
  <c r="AE62" i="72" s="1"/>
  <c r="AE65" i="72" s="1"/>
  <c r="AP41" i="72"/>
  <c r="AP62" i="72" s="1"/>
  <c r="AP65" i="72" s="1"/>
  <c r="AP55" i="72"/>
  <c r="CM40" i="72"/>
  <c r="CM64" i="72"/>
  <c r="BY55" i="72"/>
  <c r="CJ41" i="72"/>
  <c r="CJ62" i="72" s="1"/>
  <c r="CJ65" i="72" s="1"/>
  <c r="CJ55" i="72"/>
  <c r="AX41" i="72"/>
  <c r="AX62" i="72" s="1"/>
  <c r="AX65" i="72" s="1"/>
  <c r="CG41" i="72"/>
  <c r="CG62" i="72" s="1"/>
  <c r="CG65" i="72" s="1"/>
  <c r="E4" i="51"/>
  <c r="CM55" i="72" l="1"/>
  <c r="CM60" i="72"/>
  <c r="CM41" i="72"/>
  <c r="G62" i="72"/>
  <c r="CM62" i="72" s="1"/>
  <c r="CM53" i="72"/>
  <c r="C8" i="17"/>
  <c r="E9" i="17"/>
  <c r="G65" i="72" l="1"/>
  <c r="D11" i="17"/>
  <c r="E11" i="17" s="1"/>
  <c r="D8" i="17"/>
  <c r="CM65" i="72" l="1"/>
  <c r="K11" i="17" l="1"/>
  <c r="K15" i="17" l="1"/>
  <c r="G15" i="47" l="1"/>
  <c r="B8" i="47"/>
  <c r="J19" i="72" l="1"/>
  <c r="R19" i="72"/>
  <c r="Z19" i="72"/>
  <c r="AH19" i="72"/>
  <c r="AP19" i="72"/>
  <c r="AX19" i="72"/>
  <c r="BF19" i="72"/>
  <c r="BN19" i="72"/>
  <c r="BV19" i="72"/>
  <c r="CD19" i="72"/>
  <c r="CL19" i="72"/>
  <c r="I19" i="72"/>
  <c r="BE19" i="72"/>
  <c r="K19" i="72"/>
  <c r="S19" i="72"/>
  <c r="AA19" i="72"/>
  <c r="AI19" i="72"/>
  <c r="AQ19" i="72"/>
  <c r="AY19" i="72"/>
  <c r="BG19" i="72"/>
  <c r="BO19" i="72"/>
  <c r="BW19" i="72"/>
  <c r="CE19" i="72"/>
  <c r="CM19" i="72"/>
  <c r="CK19" i="72"/>
  <c r="L19" i="72"/>
  <c r="T19" i="72"/>
  <c r="AB19" i="72"/>
  <c r="AJ19" i="72"/>
  <c r="AR19" i="72"/>
  <c r="AZ19" i="72"/>
  <c r="BH19" i="72"/>
  <c r="BP19" i="72"/>
  <c r="BX19" i="72"/>
  <c r="CF19" i="72"/>
  <c r="BU19" i="72"/>
  <c r="M19" i="72"/>
  <c r="U19" i="72"/>
  <c r="AC19" i="72"/>
  <c r="AK19" i="72"/>
  <c r="AS19" i="72"/>
  <c r="BA19" i="72"/>
  <c r="BI19" i="72"/>
  <c r="BQ19" i="72"/>
  <c r="BY19" i="72"/>
  <c r="CG19" i="72"/>
  <c r="AW19" i="72"/>
  <c r="N19" i="72"/>
  <c r="V19" i="72"/>
  <c r="AD19" i="72"/>
  <c r="AL19" i="72"/>
  <c r="AT19" i="72"/>
  <c r="BB19" i="72"/>
  <c r="BJ19" i="72"/>
  <c r="BR19" i="72"/>
  <c r="BZ19" i="72"/>
  <c r="CH19" i="72"/>
  <c r="Q19" i="72"/>
  <c r="AO19" i="72"/>
  <c r="CC19" i="72"/>
  <c r="O19" i="72"/>
  <c r="W19" i="72"/>
  <c r="AE19" i="72"/>
  <c r="AM19" i="72"/>
  <c r="AU19" i="72"/>
  <c r="BC19" i="72"/>
  <c r="BK19" i="72"/>
  <c r="BS19" i="72"/>
  <c r="CA19" i="72"/>
  <c r="CI19" i="72"/>
  <c r="Y19" i="72"/>
  <c r="BM19" i="72"/>
  <c r="H19" i="72"/>
  <c r="P19" i="72"/>
  <c r="X19" i="72"/>
  <c r="AF19" i="72"/>
  <c r="AN19" i="72"/>
  <c r="AV19" i="72"/>
  <c r="BD19" i="72"/>
  <c r="BL19" i="72"/>
  <c r="BT19" i="72"/>
  <c r="CB19" i="72"/>
  <c r="CJ19" i="72"/>
  <c r="AG19" i="72"/>
  <c r="C17" i="47"/>
  <c r="C14" i="47"/>
  <c r="C12" i="17" s="1"/>
  <c r="C11" i="47"/>
  <c r="H11" i="47" s="1"/>
  <c r="C20" i="47"/>
  <c r="C7" i="47"/>
  <c r="G18" i="47"/>
  <c r="G14" i="47"/>
  <c r="C21" i="47"/>
  <c r="C16" i="47"/>
  <c r="C4" i="47"/>
  <c r="G21" i="47"/>
  <c r="H21" i="47" s="1"/>
  <c r="G17" i="47"/>
  <c r="G13" i="47"/>
  <c r="G20" i="47"/>
  <c r="H20" i="47" s="1"/>
  <c r="G16" i="47"/>
  <c r="G12" i="47"/>
  <c r="C18" i="47"/>
  <c r="C13" i="47"/>
  <c r="G19" i="47"/>
  <c r="C12" i="47"/>
  <c r="C6" i="47"/>
  <c r="C19" i="47"/>
  <c r="C15" i="47"/>
  <c r="H15" i="47" s="1"/>
  <c r="C5" i="47"/>
  <c r="H18" i="47" l="1"/>
  <c r="H19" i="47"/>
  <c r="H17" i="72"/>
  <c r="H66" i="72" s="1"/>
  <c r="H67" i="72" s="1"/>
  <c r="P17" i="72"/>
  <c r="P66" i="72" s="1"/>
  <c r="P67" i="72" s="1"/>
  <c r="X17" i="72"/>
  <c r="X66" i="72" s="1"/>
  <c r="X67" i="72" s="1"/>
  <c r="AF17" i="72"/>
  <c r="AF66" i="72" s="1"/>
  <c r="AF67" i="72" s="1"/>
  <c r="AN17" i="72"/>
  <c r="AN66" i="72" s="1"/>
  <c r="AN67" i="72" s="1"/>
  <c r="AV17" i="72"/>
  <c r="AV66" i="72" s="1"/>
  <c r="AV67" i="72" s="1"/>
  <c r="BD17" i="72"/>
  <c r="BD66" i="72" s="1"/>
  <c r="BD67" i="72" s="1"/>
  <c r="BL17" i="72"/>
  <c r="BL66" i="72" s="1"/>
  <c r="BL67" i="72" s="1"/>
  <c r="BT17" i="72"/>
  <c r="BT66" i="72" s="1"/>
  <c r="BT67" i="72" s="1"/>
  <c r="CB17" i="72"/>
  <c r="CB66" i="72" s="1"/>
  <c r="CB67" i="72" s="1"/>
  <c r="CJ17" i="72"/>
  <c r="CJ66" i="72" s="1"/>
  <c r="CJ67" i="72" s="1"/>
  <c r="AM17" i="72"/>
  <c r="AM66" i="72" s="1"/>
  <c r="AM67" i="72" s="1"/>
  <c r="BK17" i="72"/>
  <c r="BK66" i="72" s="1"/>
  <c r="BK67" i="72" s="1"/>
  <c r="I17" i="72"/>
  <c r="I66" i="72" s="1"/>
  <c r="I67" i="72" s="1"/>
  <c r="Q17" i="72"/>
  <c r="Q66" i="72" s="1"/>
  <c r="Q67" i="72" s="1"/>
  <c r="Y17" i="72"/>
  <c r="Y66" i="72" s="1"/>
  <c r="Y67" i="72" s="1"/>
  <c r="AG17" i="72"/>
  <c r="AG66" i="72" s="1"/>
  <c r="AG67" i="72" s="1"/>
  <c r="AO17" i="72"/>
  <c r="AO66" i="72" s="1"/>
  <c r="AO67" i="72" s="1"/>
  <c r="AW17" i="72"/>
  <c r="AW66" i="72" s="1"/>
  <c r="AW67" i="72" s="1"/>
  <c r="BE17" i="72"/>
  <c r="BE66" i="72" s="1"/>
  <c r="BE67" i="72" s="1"/>
  <c r="BM17" i="72"/>
  <c r="BM66" i="72" s="1"/>
  <c r="BM67" i="72" s="1"/>
  <c r="BU17" i="72"/>
  <c r="BU66" i="72" s="1"/>
  <c r="BU67" i="72" s="1"/>
  <c r="CC17" i="72"/>
  <c r="CC66" i="72" s="1"/>
  <c r="CC67" i="72" s="1"/>
  <c r="CK17" i="72"/>
  <c r="CK66" i="72" s="1"/>
  <c r="CK67" i="72" s="1"/>
  <c r="W17" i="72"/>
  <c r="W66" i="72" s="1"/>
  <c r="W67" i="72" s="1"/>
  <c r="J17" i="72"/>
  <c r="J66" i="72" s="1"/>
  <c r="J67" i="72" s="1"/>
  <c r="R17" i="72"/>
  <c r="R66" i="72" s="1"/>
  <c r="R67" i="72" s="1"/>
  <c r="Z17" i="72"/>
  <c r="Z66" i="72" s="1"/>
  <c r="Z67" i="72" s="1"/>
  <c r="AH17" i="72"/>
  <c r="AH66" i="72" s="1"/>
  <c r="AH67" i="72" s="1"/>
  <c r="AP17" i="72"/>
  <c r="AP66" i="72" s="1"/>
  <c r="AP67" i="72" s="1"/>
  <c r="AX17" i="72"/>
  <c r="AX66" i="72" s="1"/>
  <c r="AX67" i="72" s="1"/>
  <c r="BF17" i="72"/>
  <c r="BF66" i="72" s="1"/>
  <c r="BF67" i="72" s="1"/>
  <c r="BN17" i="72"/>
  <c r="BN66" i="72" s="1"/>
  <c r="BN67" i="72" s="1"/>
  <c r="BV17" i="72"/>
  <c r="BV66" i="72" s="1"/>
  <c r="BV67" i="72" s="1"/>
  <c r="CD17" i="72"/>
  <c r="CD66" i="72" s="1"/>
  <c r="CD67" i="72" s="1"/>
  <c r="CL17" i="72"/>
  <c r="CL66" i="72" s="1"/>
  <c r="CL67" i="72" s="1"/>
  <c r="BS17" i="72"/>
  <c r="BS66" i="72" s="1"/>
  <c r="BS67" i="72" s="1"/>
  <c r="K17" i="72"/>
  <c r="K66" i="72" s="1"/>
  <c r="K67" i="72" s="1"/>
  <c r="S17" i="72"/>
  <c r="S66" i="72" s="1"/>
  <c r="S67" i="72" s="1"/>
  <c r="AA17" i="72"/>
  <c r="AA66" i="72" s="1"/>
  <c r="AA67" i="72" s="1"/>
  <c r="AI17" i="72"/>
  <c r="AI66" i="72" s="1"/>
  <c r="AI67" i="72" s="1"/>
  <c r="AQ17" i="72"/>
  <c r="AQ66" i="72" s="1"/>
  <c r="AQ67" i="72" s="1"/>
  <c r="AY17" i="72"/>
  <c r="AY66" i="72" s="1"/>
  <c r="AY67" i="72" s="1"/>
  <c r="BG17" i="72"/>
  <c r="BG66" i="72" s="1"/>
  <c r="BG67" i="72" s="1"/>
  <c r="BO17" i="72"/>
  <c r="BO66" i="72" s="1"/>
  <c r="BO67" i="72" s="1"/>
  <c r="BW17" i="72"/>
  <c r="BW66" i="72" s="1"/>
  <c r="BW67" i="72" s="1"/>
  <c r="CE17" i="72"/>
  <c r="CE66" i="72" s="1"/>
  <c r="CE67" i="72" s="1"/>
  <c r="CM17" i="72"/>
  <c r="B41" i="86" s="1"/>
  <c r="B42" i="86" s="1"/>
  <c r="B43" i="86" s="1"/>
  <c r="AU17" i="72"/>
  <c r="AU66" i="72" s="1"/>
  <c r="AU67" i="72" s="1"/>
  <c r="L17" i="72"/>
  <c r="L66" i="72" s="1"/>
  <c r="L67" i="72" s="1"/>
  <c r="T17" i="72"/>
  <c r="T66" i="72" s="1"/>
  <c r="T67" i="72" s="1"/>
  <c r="AB17" i="72"/>
  <c r="AB66" i="72" s="1"/>
  <c r="AB67" i="72" s="1"/>
  <c r="AJ17" i="72"/>
  <c r="AJ66" i="72" s="1"/>
  <c r="AJ67" i="72" s="1"/>
  <c r="AR17" i="72"/>
  <c r="AR66" i="72" s="1"/>
  <c r="AR67" i="72" s="1"/>
  <c r="AZ17" i="72"/>
  <c r="AZ66" i="72" s="1"/>
  <c r="AZ67" i="72" s="1"/>
  <c r="BH17" i="72"/>
  <c r="BH66" i="72" s="1"/>
  <c r="BH67" i="72" s="1"/>
  <c r="BP17" i="72"/>
  <c r="BP66" i="72" s="1"/>
  <c r="BP67" i="72" s="1"/>
  <c r="BX17" i="72"/>
  <c r="BX66" i="72" s="1"/>
  <c r="BX67" i="72" s="1"/>
  <c r="CF17" i="72"/>
  <c r="CF66" i="72" s="1"/>
  <c r="CF67" i="72" s="1"/>
  <c r="G17" i="72"/>
  <c r="G66" i="72" s="1"/>
  <c r="AE17" i="72"/>
  <c r="AE66" i="72" s="1"/>
  <c r="AE67" i="72" s="1"/>
  <c r="CA17" i="72"/>
  <c r="CA66" i="72" s="1"/>
  <c r="CA67" i="72" s="1"/>
  <c r="M17" i="72"/>
  <c r="M66" i="72" s="1"/>
  <c r="M67" i="72" s="1"/>
  <c r="U17" i="72"/>
  <c r="U66" i="72" s="1"/>
  <c r="U67" i="72" s="1"/>
  <c r="AC17" i="72"/>
  <c r="AC66" i="72" s="1"/>
  <c r="AC67" i="72" s="1"/>
  <c r="AK17" i="72"/>
  <c r="AK66" i="72" s="1"/>
  <c r="AK67" i="72" s="1"/>
  <c r="AS17" i="72"/>
  <c r="AS66" i="72" s="1"/>
  <c r="AS67" i="72" s="1"/>
  <c r="BA17" i="72"/>
  <c r="BA66" i="72" s="1"/>
  <c r="BA67" i="72" s="1"/>
  <c r="BI17" i="72"/>
  <c r="BI66" i="72" s="1"/>
  <c r="BI67" i="72" s="1"/>
  <c r="BQ17" i="72"/>
  <c r="BQ66" i="72" s="1"/>
  <c r="BQ67" i="72" s="1"/>
  <c r="BY17" i="72"/>
  <c r="BY66" i="72" s="1"/>
  <c r="BY67" i="72" s="1"/>
  <c r="CG17" i="72"/>
  <c r="CG66" i="72" s="1"/>
  <c r="CG67" i="72" s="1"/>
  <c r="O17" i="72"/>
  <c r="O66" i="72" s="1"/>
  <c r="O67" i="72" s="1"/>
  <c r="CI17" i="72"/>
  <c r="CI66" i="72" s="1"/>
  <c r="CI67" i="72" s="1"/>
  <c r="N17" i="72"/>
  <c r="N66" i="72" s="1"/>
  <c r="N67" i="72" s="1"/>
  <c r="V17" i="72"/>
  <c r="V66" i="72" s="1"/>
  <c r="V67" i="72" s="1"/>
  <c r="AD17" i="72"/>
  <c r="AD66" i="72" s="1"/>
  <c r="AD67" i="72" s="1"/>
  <c r="AL17" i="72"/>
  <c r="AL66" i="72" s="1"/>
  <c r="AL67" i="72" s="1"/>
  <c r="AT17" i="72"/>
  <c r="AT66" i="72" s="1"/>
  <c r="AT67" i="72" s="1"/>
  <c r="BB17" i="72"/>
  <c r="BB66" i="72" s="1"/>
  <c r="BB67" i="72" s="1"/>
  <c r="BJ17" i="72"/>
  <c r="BJ66" i="72" s="1"/>
  <c r="BJ67" i="72" s="1"/>
  <c r="BR17" i="72"/>
  <c r="BR66" i="72" s="1"/>
  <c r="BR67" i="72" s="1"/>
  <c r="BZ17" i="72"/>
  <c r="BZ66" i="72" s="1"/>
  <c r="BZ67" i="72" s="1"/>
  <c r="CH17" i="72"/>
  <c r="CH66" i="72" s="1"/>
  <c r="CH67" i="72" s="1"/>
  <c r="BC17" i="72"/>
  <c r="BC66" i="72" s="1"/>
  <c r="BC67" i="72" s="1"/>
  <c r="H12" i="47"/>
  <c r="H16" i="47"/>
  <c r="M18" i="72"/>
  <c r="M54" i="72" s="1"/>
  <c r="U18" i="72"/>
  <c r="U54" i="72" s="1"/>
  <c r="AC18" i="72"/>
  <c r="AC54" i="72" s="1"/>
  <c r="AK18" i="72"/>
  <c r="AK54" i="72" s="1"/>
  <c r="AS18" i="72"/>
  <c r="AS54" i="72" s="1"/>
  <c r="BA18" i="72"/>
  <c r="BA54" i="72" s="1"/>
  <c r="BI18" i="72"/>
  <c r="BI54" i="72" s="1"/>
  <c r="BQ18" i="72"/>
  <c r="BQ54" i="72" s="1"/>
  <c r="BY18" i="72"/>
  <c r="BY54" i="72" s="1"/>
  <c r="CG18" i="72"/>
  <c r="CG54" i="72" s="1"/>
  <c r="L18" i="72"/>
  <c r="L54" i="72" s="1"/>
  <c r="AZ18" i="72"/>
  <c r="AZ54" i="72" s="1"/>
  <c r="BP18" i="72"/>
  <c r="BP54" i="72" s="1"/>
  <c r="N18" i="72"/>
  <c r="N54" i="72" s="1"/>
  <c r="V18" i="72"/>
  <c r="V54" i="72" s="1"/>
  <c r="AD18" i="72"/>
  <c r="AD54" i="72" s="1"/>
  <c r="AL18" i="72"/>
  <c r="AL54" i="72" s="1"/>
  <c r="AT18" i="72"/>
  <c r="AT54" i="72" s="1"/>
  <c r="BB18" i="72"/>
  <c r="BB54" i="72" s="1"/>
  <c r="BJ18" i="72"/>
  <c r="BJ54" i="72" s="1"/>
  <c r="BR18" i="72"/>
  <c r="BR54" i="72" s="1"/>
  <c r="BZ18" i="72"/>
  <c r="BZ54" i="72" s="1"/>
  <c r="CH18" i="72"/>
  <c r="CH54" i="72" s="1"/>
  <c r="O18" i="72"/>
  <c r="O54" i="72" s="1"/>
  <c r="W18" i="72"/>
  <c r="W54" i="72" s="1"/>
  <c r="AE18" i="72"/>
  <c r="AE54" i="72" s="1"/>
  <c r="AM18" i="72"/>
  <c r="AM54" i="72" s="1"/>
  <c r="AU18" i="72"/>
  <c r="AU54" i="72" s="1"/>
  <c r="BC18" i="72"/>
  <c r="BC54" i="72" s="1"/>
  <c r="BK18" i="72"/>
  <c r="BK54" i="72" s="1"/>
  <c r="BS18" i="72"/>
  <c r="BS54" i="72" s="1"/>
  <c r="CA18" i="72"/>
  <c r="CA54" i="72" s="1"/>
  <c r="CI18" i="72"/>
  <c r="CI54" i="72" s="1"/>
  <c r="CF18" i="72"/>
  <c r="CF54" i="72" s="1"/>
  <c r="H18" i="72"/>
  <c r="H54" i="72" s="1"/>
  <c r="P18" i="72"/>
  <c r="P54" i="72" s="1"/>
  <c r="X18" i="72"/>
  <c r="X54" i="72" s="1"/>
  <c r="AF18" i="72"/>
  <c r="AF54" i="72" s="1"/>
  <c r="AN18" i="72"/>
  <c r="AN54" i="72" s="1"/>
  <c r="AV18" i="72"/>
  <c r="AV54" i="72" s="1"/>
  <c r="BD18" i="72"/>
  <c r="BD54" i="72" s="1"/>
  <c r="BL18" i="72"/>
  <c r="BL54" i="72" s="1"/>
  <c r="BT18" i="72"/>
  <c r="BT54" i="72" s="1"/>
  <c r="CB18" i="72"/>
  <c r="CB54" i="72" s="1"/>
  <c r="CJ18" i="72"/>
  <c r="CJ54" i="72" s="1"/>
  <c r="T18" i="72"/>
  <c r="T54" i="72" s="1"/>
  <c r="BX18" i="72"/>
  <c r="BX54" i="72" s="1"/>
  <c r="I18" i="72"/>
  <c r="I54" i="72" s="1"/>
  <c r="Q18" i="72"/>
  <c r="Q54" i="72" s="1"/>
  <c r="Y18" i="72"/>
  <c r="Y54" i="72" s="1"/>
  <c r="AG18" i="72"/>
  <c r="AG54" i="72" s="1"/>
  <c r="AO18" i="72"/>
  <c r="AO54" i="72" s="1"/>
  <c r="AW18" i="72"/>
  <c r="AW54" i="72" s="1"/>
  <c r="BE18" i="72"/>
  <c r="BE54" i="72" s="1"/>
  <c r="BM18" i="72"/>
  <c r="BM54" i="72" s="1"/>
  <c r="BU18" i="72"/>
  <c r="BU54" i="72" s="1"/>
  <c r="CC18" i="72"/>
  <c r="CC54" i="72" s="1"/>
  <c r="CK18" i="72"/>
  <c r="CK54" i="72" s="1"/>
  <c r="AR18" i="72"/>
  <c r="AR54" i="72" s="1"/>
  <c r="BH18" i="72"/>
  <c r="BH54" i="72" s="1"/>
  <c r="J18" i="72"/>
  <c r="J54" i="72" s="1"/>
  <c r="R18" i="72"/>
  <c r="R54" i="72" s="1"/>
  <c r="Z18" i="72"/>
  <c r="Z54" i="72" s="1"/>
  <c r="AH18" i="72"/>
  <c r="AH54" i="72" s="1"/>
  <c r="AP18" i="72"/>
  <c r="AP54" i="72" s="1"/>
  <c r="AX18" i="72"/>
  <c r="AX54" i="72" s="1"/>
  <c r="BF18" i="72"/>
  <c r="BF54" i="72" s="1"/>
  <c r="BN18" i="72"/>
  <c r="BN54" i="72" s="1"/>
  <c r="BV18" i="72"/>
  <c r="BV54" i="72" s="1"/>
  <c r="CD18" i="72"/>
  <c r="CD54" i="72" s="1"/>
  <c r="CL18" i="72"/>
  <c r="CL54" i="72" s="1"/>
  <c r="AJ18" i="72"/>
  <c r="AJ54" i="72" s="1"/>
  <c r="K18" i="72"/>
  <c r="K54" i="72" s="1"/>
  <c r="S18" i="72"/>
  <c r="S54" i="72" s="1"/>
  <c r="AA18" i="72"/>
  <c r="AA54" i="72" s="1"/>
  <c r="AI18" i="72"/>
  <c r="AI54" i="72" s="1"/>
  <c r="AQ18" i="72"/>
  <c r="AQ54" i="72" s="1"/>
  <c r="AY18" i="72"/>
  <c r="AY54" i="72" s="1"/>
  <c r="BG18" i="72"/>
  <c r="BG54" i="72" s="1"/>
  <c r="BO18" i="72"/>
  <c r="BO54" i="72" s="1"/>
  <c r="BW18" i="72"/>
  <c r="BW54" i="72" s="1"/>
  <c r="CE18" i="72"/>
  <c r="CE54" i="72" s="1"/>
  <c r="CM18" i="72"/>
  <c r="AB18" i="72"/>
  <c r="AB54" i="72" s="1"/>
  <c r="G18" i="72"/>
  <c r="G54" i="72" s="1"/>
  <c r="H14" i="47"/>
  <c r="H13" i="47"/>
  <c r="H17" i="47"/>
  <c r="E9" i="51"/>
  <c r="H11" i="80" s="1"/>
  <c r="H48" i="80" s="1"/>
  <c r="CM54" i="72" l="1"/>
  <c r="AT68" i="72"/>
  <c r="BY68" i="72"/>
  <c r="M68" i="72"/>
  <c r="AZ68" i="72"/>
  <c r="CE68" i="72"/>
  <c r="S68" i="72"/>
  <c r="AX68" i="72"/>
  <c r="CC68" i="72"/>
  <c r="Q68" i="72"/>
  <c r="BD68" i="72"/>
  <c r="AL68" i="72"/>
  <c r="BQ68" i="72"/>
  <c r="CA68" i="72"/>
  <c r="AR68" i="72"/>
  <c r="BW68" i="72"/>
  <c r="K68" i="72"/>
  <c r="AP68" i="72"/>
  <c r="BU68" i="72"/>
  <c r="I68" i="72"/>
  <c r="AV68" i="72"/>
  <c r="BC68" i="72"/>
  <c r="AD68" i="72"/>
  <c r="BI68" i="72"/>
  <c r="AE68" i="72"/>
  <c r="AJ68" i="72"/>
  <c r="BO68" i="72"/>
  <c r="BS68" i="72"/>
  <c r="AH68" i="72"/>
  <c r="BM68" i="72"/>
  <c r="BK68" i="72"/>
  <c r="AN68" i="72"/>
  <c r="CH68" i="72"/>
  <c r="V68" i="72"/>
  <c r="BA68" i="72"/>
  <c r="CM66" i="72"/>
  <c r="CM67" i="72" s="1"/>
  <c r="E18" i="51" s="1"/>
  <c r="E19" i="51" s="1"/>
  <c r="G67" i="72"/>
  <c r="G68" i="72" s="1"/>
  <c r="AB68" i="72"/>
  <c r="BG68" i="72"/>
  <c r="CL68" i="72"/>
  <c r="Z68" i="72"/>
  <c r="BE68" i="72"/>
  <c r="AM68" i="72"/>
  <c r="AF68" i="72"/>
  <c r="BZ68" i="72"/>
  <c r="N68" i="72"/>
  <c r="AS68" i="72"/>
  <c r="CF68" i="72"/>
  <c r="T68" i="72"/>
  <c r="AY68" i="72"/>
  <c r="CD68" i="72"/>
  <c r="R68" i="72"/>
  <c r="AW68" i="72"/>
  <c r="CJ68" i="72"/>
  <c r="X68" i="72"/>
  <c r="BR68" i="72"/>
  <c r="CI68" i="72"/>
  <c r="AK68" i="72"/>
  <c r="BX68" i="72"/>
  <c r="L68" i="72"/>
  <c r="AQ68" i="72"/>
  <c r="BV68" i="72"/>
  <c r="J68" i="72"/>
  <c r="AO68" i="72"/>
  <c r="CB68" i="72"/>
  <c r="P68" i="72"/>
  <c r="BJ68" i="72"/>
  <c r="O68" i="72"/>
  <c r="AC68" i="72"/>
  <c r="BP68" i="72"/>
  <c r="AU68" i="72"/>
  <c r="AI68" i="72"/>
  <c r="BN68" i="72"/>
  <c r="W68" i="72"/>
  <c r="AG68" i="72"/>
  <c r="BT68" i="72"/>
  <c r="H68" i="72"/>
  <c r="BB68" i="72"/>
  <c r="CG68" i="72"/>
  <c r="U68" i="72"/>
  <c r="BH68" i="72"/>
  <c r="P15" i="77"/>
  <c r="T15" i="77"/>
  <c r="S15" i="77"/>
  <c r="N15" i="77"/>
  <c r="I15" i="77"/>
  <c r="H15" i="77"/>
  <c r="L15" i="77"/>
  <c r="U15" i="77"/>
  <c r="X15" i="77"/>
  <c r="Q15" i="77"/>
  <c r="V15" i="77"/>
  <c r="J15" i="77"/>
  <c r="R15" i="77"/>
  <c r="W15" i="77"/>
  <c r="M15" i="77"/>
  <c r="O15" i="77"/>
  <c r="Y15" i="77"/>
  <c r="K15" i="77"/>
  <c r="Z15" i="77"/>
  <c r="AA68" i="72"/>
  <c r="BF68" i="72"/>
  <c r="CK68" i="72"/>
  <c r="Y68" i="72"/>
  <c r="BL68" i="72"/>
  <c r="H10" i="80"/>
  <c r="H11" i="66"/>
  <c r="F9" i="51"/>
  <c r="I11" i="80" s="1"/>
  <c r="E5" i="51"/>
  <c r="BH69" i="72" l="1"/>
  <c r="BH70" i="72"/>
  <c r="BN69" i="72"/>
  <c r="BN70" i="72"/>
  <c r="CB69" i="72"/>
  <c r="CB70" i="72"/>
  <c r="CI69" i="72"/>
  <c r="CI70" i="72"/>
  <c r="T70" i="72"/>
  <c r="T69" i="72"/>
  <c r="Z69" i="72"/>
  <c r="Z70" i="72"/>
  <c r="CH70" i="72"/>
  <c r="CH69" i="72"/>
  <c r="AE69" i="72"/>
  <c r="AE70" i="72"/>
  <c r="K69" i="72"/>
  <c r="K70" i="72"/>
  <c r="CC69" i="72"/>
  <c r="CC70" i="72"/>
  <c r="U69" i="72"/>
  <c r="U70" i="72"/>
  <c r="AI69" i="72"/>
  <c r="AI70" i="72"/>
  <c r="AO69" i="72"/>
  <c r="AO70" i="72"/>
  <c r="BR69" i="72"/>
  <c r="BR70" i="72"/>
  <c r="CF69" i="72"/>
  <c r="CF70" i="72"/>
  <c r="CL69" i="72"/>
  <c r="CL70" i="72"/>
  <c r="AN69" i="72"/>
  <c r="AN70" i="72"/>
  <c r="BI69" i="72"/>
  <c r="BI70" i="72"/>
  <c r="BW69" i="72"/>
  <c r="BW70" i="72"/>
  <c r="AX70" i="72"/>
  <c r="AX69" i="72"/>
  <c r="Y69" i="72"/>
  <c r="Y70" i="72"/>
  <c r="CK69" i="72"/>
  <c r="CK70" i="72"/>
  <c r="CG69" i="72"/>
  <c r="CG70" i="72"/>
  <c r="AU70" i="72"/>
  <c r="AU69" i="72"/>
  <c r="J69" i="72"/>
  <c r="J70" i="72"/>
  <c r="X69" i="72"/>
  <c r="X70" i="72"/>
  <c r="AS69" i="72"/>
  <c r="AS70" i="72"/>
  <c r="BG69" i="72"/>
  <c r="BG70" i="72"/>
  <c r="BK69" i="72"/>
  <c r="BK70" i="72"/>
  <c r="AD69" i="72"/>
  <c r="AD70" i="72"/>
  <c r="AR69" i="72"/>
  <c r="AR70" i="72"/>
  <c r="S69" i="72"/>
  <c r="S70" i="72"/>
  <c r="BF69" i="72"/>
  <c r="BF70" i="72"/>
  <c r="BB69" i="72"/>
  <c r="BB70" i="72"/>
  <c r="BP70" i="72"/>
  <c r="BP69" i="72"/>
  <c r="BV70" i="72"/>
  <c r="BV69" i="72"/>
  <c r="CJ70" i="72"/>
  <c r="CJ69" i="72"/>
  <c r="N69" i="72"/>
  <c r="N70" i="72"/>
  <c r="AB69" i="72"/>
  <c r="AB70" i="72"/>
  <c r="BM69" i="72"/>
  <c r="BM70" i="72"/>
  <c r="BC70" i="72"/>
  <c r="BC69" i="72"/>
  <c r="CA69" i="72"/>
  <c r="CA70" i="72"/>
  <c r="CE70" i="72"/>
  <c r="CE69" i="72"/>
  <c r="AA69" i="72"/>
  <c r="AA70" i="72"/>
  <c r="H69" i="72"/>
  <c r="H70" i="72"/>
  <c r="AC69" i="72"/>
  <c r="AC70" i="72"/>
  <c r="AQ69" i="72"/>
  <c r="AQ70" i="72"/>
  <c r="AW69" i="72"/>
  <c r="AW70" i="72"/>
  <c r="BZ69" i="72"/>
  <c r="BZ70" i="72"/>
  <c r="G69" i="72"/>
  <c r="CM68" i="72"/>
  <c r="G70" i="72"/>
  <c r="AH69" i="72"/>
  <c r="AH70" i="72"/>
  <c r="AV70" i="72"/>
  <c r="AV69" i="72"/>
  <c r="BQ69" i="72"/>
  <c r="BQ70" i="72"/>
  <c r="AZ69" i="72"/>
  <c r="AZ70" i="72"/>
  <c r="BL69" i="72"/>
  <c r="BL70" i="72"/>
  <c r="BT70" i="72"/>
  <c r="BT69" i="72"/>
  <c r="O69" i="72"/>
  <c r="O70" i="72"/>
  <c r="L69" i="72"/>
  <c r="L70" i="72"/>
  <c r="R69" i="72"/>
  <c r="R70" i="72"/>
  <c r="AF69" i="72"/>
  <c r="AF70" i="72"/>
  <c r="BS69" i="72"/>
  <c r="BS70" i="72"/>
  <c r="I69" i="72"/>
  <c r="I70" i="72"/>
  <c r="AL69" i="72"/>
  <c r="AL70" i="72"/>
  <c r="M69" i="72"/>
  <c r="M70" i="72"/>
  <c r="AG69" i="72"/>
  <c r="AG70" i="72"/>
  <c r="BJ70" i="72"/>
  <c r="BJ69" i="72"/>
  <c r="BX70" i="72"/>
  <c r="BX69" i="72"/>
  <c r="CD70" i="72"/>
  <c r="CD69" i="72"/>
  <c r="AM69" i="72"/>
  <c r="AM70" i="72"/>
  <c r="BA69" i="72"/>
  <c r="BA70" i="72"/>
  <c r="BO69" i="72"/>
  <c r="BO70" i="72"/>
  <c r="BU69" i="72"/>
  <c r="BU70" i="72"/>
  <c r="BD69" i="72"/>
  <c r="BD70" i="72"/>
  <c r="BY70" i="72"/>
  <c r="BY69" i="72"/>
  <c r="W69" i="72"/>
  <c r="W70" i="72"/>
  <c r="P69" i="72"/>
  <c r="P70" i="72"/>
  <c r="AK69" i="72"/>
  <c r="AK70" i="72"/>
  <c r="AY70" i="72"/>
  <c r="AY69" i="72"/>
  <c r="BE70" i="72"/>
  <c r="BE69" i="72"/>
  <c r="V69" i="72"/>
  <c r="V70" i="72"/>
  <c r="AJ69" i="72"/>
  <c r="AJ70" i="72"/>
  <c r="AP69" i="72"/>
  <c r="AP70" i="72"/>
  <c r="Q69" i="72"/>
  <c r="Q70" i="72"/>
  <c r="AT69" i="72"/>
  <c r="AT70" i="72"/>
  <c r="H12" i="77"/>
  <c r="I48" i="80"/>
  <c r="I10" i="80"/>
  <c r="H11" i="39"/>
  <c r="B5" i="56" s="1"/>
  <c r="F5" i="51"/>
  <c r="G9" i="51"/>
  <c r="J11" i="80" s="1"/>
  <c r="I11" i="66"/>
  <c r="H50" i="66"/>
  <c r="H10" i="66"/>
  <c r="I12" i="77" l="1"/>
  <c r="I11" i="94"/>
  <c r="I10" i="94" s="1"/>
  <c r="CM70" i="72"/>
  <c r="B3" i="86" s="1"/>
  <c r="B26" i="86" s="1"/>
  <c r="B25" i="86" s="1"/>
  <c r="B33" i="86" s="1"/>
  <c r="CM69" i="72"/>
  <c r="I11" i="77"/>
  <c r="I50" i="77"/>
  <c r="H11" i="77"/>
  <c r="H50" i="77"/>
  <c r="J18" i="80"/>
  <c r="Z18" i="80"/>
  <c r="W18" i="80"/>
  <c r="T18" i="80"/>
  <c r="Q18" i="80"/>
  <c r="N18" i="80"/>
  <c r="K18" i="80"/>
  <c r="H18" i="80"/>
  <c r="X18" i="80"/>
  <c r="U18" i="80"/>
  <c r="R18" i="80"/>
  <c r="O18" i="80"/>
  <c r="L18" i="80"/>
  <c r="I18" i="80"/>
  <c r="Y18" i="80"/>
  <c r="V18" i="80"/>
  <c r="S18" i="80"/>
  <c r="P18" i="80"/>
  <c r="M18" i="80"/>
  <c r="J48" i="80"/>
  <c r="J10" i="80"/>
  <c r="G5" i="51"/>
  <c r="I11" i="39"/>
  <c r="H9" i="51"/>
  <c r="K11" i="80" s="1"/>
  <c r="J11" i="66"/>
  <c r="I50" i="66"/>
  <c r="I10" i="66"/>
  <c r="H10" i="39"/>
  <c r="H48" i="39" s="1"/>
  <c r="E13" i="17"/>
  <c r="B5" i="95" l="1"/>
  <c r="B5" i="102"/>
  <c r="B5" i="101"/>
  <c r="B5" i="103"/>
  <c r="C5" i="95"/>
  <c r="C5" i="101"/>
  <c r="C5" i="103"/>
  <c r="C5" i="102"/>
  <c r="C4" i="100"/>
  <c r="C25" i="100"/>
  <c r="E25" i="100" s="1"/>
  <c r="E24" i="100" s="1"/>
  <c r="B2" i="86"/>
  <c r="J12" i="77"/>
  <c r="J11" i="77" s="1"/>
  <c r="J11" i="94"/>
  <c r="J10" i="94" s="1"/>
  <c r="I48" i="94"/>
  <c r="K48" i="80"/>
  <c r="K10" i="80"/>
  <c r="H5" i="51"/>
  <c r="J11" i="39"/>
  <c r="E4" i="9"/>
  <c r="J50" i="66"/>
  <c r="J10" i="66"/>
  <c r="I9" i="51"/>
  <c r="L11" i="80" s="1"/>
  <c r="K11" i="66"/>
  <c r="C5" i="56"/>
  <c r="I10" i="39"/>
  <c r="I48" i="39" s="1"/>
  <c r="I27" i="39"/>
  <c r="J27" i="39" s="1"/>
  <c r="K27" i="39" s="1"/>
  <c r="L27" i="39" s="1"/>
  <c r="M27" i="39" s="1"/>
  <c r="N27" i="39" s="1"/>
  <c r="O27" i="39" s="1"/>
  <c r="P27" i="39" s="1"/>
  <c r="Q27" i="39" s="1"/>
  <c r="R27" i="39" s="1"/>
  <c r="S27" i="39" s="1"/>
  <c r="T27" i="39" s="1"/>
  <c r="U27" i="39" s="1"/>
  <c r="V27" i="39" s="1"/>
  <c r="W27" i="39" s="1"/>
  <c r="X27" i="39" s="1"/>
  <c r="Y27" i="39" s="1"/>
  <c r="Z27" i="39" s="1"/>
  <c r="D5" i="101" l="1"/>
  <c r="D5" i="103"/>
  <c r="D5" i="102"/>
  <c r="F24" i="100"/>
  <c r="G24" i="100" s="1"/>
  <c r="H24" i="100" s="1"/>
  <c r="I24" i="100" s="1"/>
  <c r="J24" i="100" s="1"/>
  <c r="K24" i="100" s="1"/>
  <c r="L24" i="100" s="1"/>
  <c r="M24" i="100" s="1"/>
  <c r="N24" i="100" s="1"/>
  <c r="O24" i="100" s="1"/>
  <c r="P24" i="100" s="1"/>
  <c r="Q24" i="100" s="1"/>
  <c r="R24" i="100" s="1"/>
  <c r="S24" i="100" s="1"/>
  <c r="T24" i="100" s="1"/>
  <c r="U24" i="100" s="1"/>
  <c r="V24" i="100" s="1"/>
  <c r="W24" i="100" s="1"/>
  <c r="X24" i="100" s="1"/>
  <c r="E23" i="100"/>
  <c r="E40" i="100" s="1"/>
  <c r="E38" i="100" s="1"/>
  <c r="E41" i="100" s="1"/>
  <c r="C65" i="100"/>
  <c r="E4" i="100"/>
  <c r="E3" i="100" s="1"/>
  <c r="D5" i="95"/>
  <c r="E3" i="99"/>
  <c r="J48" i="94"/>
  <c r="K12" i="77"/>
  <c r="K50" i="77" s="1"/>
  <c r="K11" i="94"/>
  <c r="K10" i="94" s="1"/>
  <c r="H15" i="66"/>
  <c r="J50" i="77"/>
  <c r="B16" i="86"/>
  <c r="B15" i="86" s="1"/>
  <c r="B23" i="86" s="1"/>
  <c r="B6" i="86"/>
  <c r="B5" i="86" s="1"/>
  <c r="B13" i="86" s="1"/>
  <c r="L48" i="80"/>
  <c r="L10" i="80"/>
  <c r="K11" i="77"/>
  <c r="K50" i="66"/>
  <c r="K10" i="66"/>
  <c r="E3" i="57" s="1"/>
  <c r="C3" i="74" s="1"/>
  <c r="J9" i="51"/>
  <c r="M11" i="80" s="1"/>
  <c r="L11" i="66"/>
  <c r="D5" i="56"/>
  <c r="J10" i="39"/>
  <c r="J48" i="39" s="1"/>
  <c r="I5" i="51"/>
  <c r="K11" i="39"/>
  <c r="E12" i="17"/>
  <c r="F3" i="100" l="1"/>
  <c r="G3" i="100" s="1"/>
  <c r="H3" i="100" s="1"/>
  <c r="I3" i="100" s="1"/>
  <c r="J3" i="100" s="1"/>
  <c r="K3" i="100" s="1"/>
  <c r="L3" i="100" s="1"/>
  <c r="M3" i="100" s="1"/>
  <c r="N3" i="100" s="1"/>
  <c r="O3" i="100" s="1"/>
  <c r="P3" i="100" s="1"/>
  <c r="Q3" i="100" s="1"/>
  <c r="R3" i="100" s="1"/>
  <c r="S3" i="100" s="1"/>
  <c r="T3" i="100" s="1"/>
  <c r="U3" i="100" s="1"/>
  <c r="V3" i="100" s="1"/>
  <c r="W3" i="100" s="1"/>
  <c r="X3" i="100" s="1"/>
  <c r="E2" i="100"/>
  <c r="E20" i="100" s="1"/>
  <c r="E65" i="100"/>
  <c r="E64" i="100" s="1"/>
  <c r="D9" i="98"/>
  <c r="E5" i="103"/>
  <c r="E5" i="102"/>
  <c r="E5" i="101"/>
  <c r="K48" i="94"/>
  <c r="H14" i="39"/>
  <c r="L12" i="77"/>
  <c r="L11" i="94"/>
  <c r="L10" i="94" s="1"/>
  <c r="I15" i="66"/>
  <c r="E5" i="92"/>
  <c r="G5" i="92"/>
  <c r="E5" i="95"/>
  <c r="C5" i="96"/>
  <c r="M48" i="80"/>
  <c r="M10" i="80"/>
  <c r="L11" i="77"/>
  <c r="L50" i="77"/>
  <c r="C5" i="81"/>
  <c r="G5" i="81"/>
  <c r="E5" i="81"/>
  <c r="E5" i="56"/>
  <c r="K10" i="39"/>
  <c r="L50" i="66"/>
  <c r="L10" i="66"/>
  <c r="J5" i="51"/>
  <c r="L11" i="39"/>
  <c r="K9" i="51"/>
  <c r="N11" i="80" s="1"/>
  <c r="M11" i="66"/>
  <c r="G3" i="74"/>
  <c r="E3" i="74"/>
  <c r="F3" i="74"/>
  <c r="H3" i="74"/>
  <c r="E8" i="17"/>
  <c r="H18" i="77" l="1"/>
  <c r="B7" i="103" s="1"/>
  <c r="H18" i="105"/>
  <c r="F5" i="95"/>
  <c r="F5" i="103"/>
  <c r="F5" i="102"/>
  <c r="F5" i="101"/>
  <c r="E63" i="100"/>
  <c r="E79" i="100" s="1"/>
  <c r="E77" i="100" s="1"/>
  <c r="F64" i="100"/>
  <c r="I18" i="105" s="1"/>
  <c r="B7" i="95"/>
  <c r="B7" i="102"/>
  <c r="B7" i="56"/>
  <c r="B7" i="91"/>
  <c r="I14" i="94"/>
  <c r="I14" i="39"/>
  <c r="C7" i="56" s="1"/>
  <c r="M12" i="77"/>
  <c r="M11" i="94"/>
  <c r="M10" i="94" s="1"/>
  <c r="J15" i="66"/>
  <c r="E5" i="57" s="1"/>
  <c r="C5" i="74" s="1"/>
  <c r="L48" i="94"/>
  <c r="D5" i="96"/>
  <c r="G5" i="96"/>
  <c r="E5" i="96"/>
  <c r="F5" i="96"/>
  <c r="M11" i="77"/>
  <c r="M50" i="77"/>
  <c r="N48" i="80"/>
  <c r="N10" i="80"/>
  <c r="F5" i="81"/>
  <c r="D5" i="81"/>
  <c r="M50" i="66"/>
  <c r="M10" i="66"/>
  <c r="L9" i="51"/>
  <c r="O11" i="80" s="1"/>
  <c r="N11" i="66"/>
  <c r="F5" i="56"/>
  <c r="L10" i="39"/>
  <c r="L48" i="39" s="1"/>
  <c r="K48" i="39"/>
  <c r="B3" i="57"/>
  <c r="C3" i="67" s="1"/>
  <c r="K5" i="51"/>
  <c r="M11" i="39"/>
  <c r="D7" i="12"/>
  <c r="D6" i="12"/>
  <c r="D5" i="12"/>
  <c r="D4" i="12"/>
  <c r="D3" i="12"/>
  <c r="D2" i="12"/>
  <c r="Z23" i="105" l="1"/>
  <c r="Y23" i="105"/>
  <c r="Q23" i="105"/>
  <c r="I23" i="105"/>
  <c r="I24" i="105" s="1"/>
  <c r="V23" i="105"/>
  <c r="U23" i="105"/>
  <c r="X23" i="105"/>
  <c r="P23" i="105"/>
  <c r="H23" i="105"/>
  <c r="O23" i="105"/>
  <c r="N23" i="105"/>
  <c r="W23" i="105"/>
  <c r="M23" i="105"/>
  <c r="T23" i="105"/>
  <c r="L23" i="105"/>
  <c r="S23" i="105"/>
  <c r="K23" i="105"/>
  <c r="R23" i="105"/>
  <c r="J23" i="105"/>
  <c r="B7" i="101"/>
  <c r="H24" i="105"/>
  <c r="G64" i="100"/>
  <c r="J18" i="77" s="1"/>
  <c r="I18" i="77"/>
  <c r="E80" i="100"/>
  <c r="I23" i="77"/>
  <c r="G5" i="95"/>
  <c r="G5" i="103"/>
  <c r="G5" i="102"/>
  <c r="G5" i="101"/>
  <c r="J14" i="94"/>
  <c r="J14" i="39"/>
  <c r="D7" i="56" s="1"/>
  <c r="N12" i="77"/>
  <c r="N11" i="77" s="1"/>
  <c r="N11" i="94"/>
  <c r="N10" i="94" s="1"/>
  <c r="K15" i="66"/>
  <c r="E5" i="74"/>
  <c r="F5" i="74" s="1"/>
  <c r="G5" i="74"/>
  <c r="H5" i="74"/>
  <c r="M48" i="94"/>
  <c r="N50" i="77"/>
  <c r="O48" i="80"/>
  <c r="O10" i="80"/>
  <c r="L5" i="51"/>
  <c r="N11" i="39"/>
  <c r="N50" i="66"/>
  <c r="N10" i="66"/>
  <c r="G5" i="56"/>
  <c r="M10" i="39"/>
  <c r="M48" i="39" s="1"/>
  <c r="M9" i="51"/>
  <c r="P11" i="80" s="1"/>
  <c r="O11" i="66"/>
  <c r="D8" i="12"/>
  <c r="I53" i="105" l="1"/>
  <c r="I55" i="105" s="1"/>
  <c r="I26" i="105"/>
  <c r="H64" i="100"/>
  <c r="J18" i="105"/>
  <c r="H53" i="105"/>
  <c r="H55" i="105" s="1"/>
  <c r="H57" i="105" s="1"/>
  <c r="H26" i="105"/>
  <c r="D7" i="95"/>
  <c r="D7" i="103"/>
  <c r="D7" i="101"/>
  <c r="D7" i="102"/>
  <c r="B12" i="99"/>
  <c r="C12" i="102"/>
  <c r="C12" i="103"/>
  <c r="C12" i="101"/>
  <c r="H5" i="95"/>
  <c r="H5" i="103"/>
  <c r="H5" i="102"/>
  <c r="H5" i="101"/>
  <c r="I24" i="77"/>
  <c r="C7" i="102"/>
  <c r="C6" i="102" s="1"/>
  <c r="C13" i="102" s="1"/>
  <c r="C15" i="102" s="1"/>
  <c r="C16" i="102" s="1"/>
  <c r="C17" i="102" s="1"/>
  <c r="C7" i="103"/>
  <c r="C6" i="103" s="1"/>
  <c r="C13" i="103" s="1"/>
  <c r="C15" i="103" s="1"/>
  <c r="C16" i="103" s="1"/>
  <c r="C17" i="103" s="1"/>
  <c r="C7" i="101"/>
  <c r="C6" i="101" s="1"/>
  <c r="C13" i="101" s="1"/>
  <c r="C15" i="101" s="1"/>
  <c r="C7" i="95"/>
  <c r="K14" i="94"/>
  <c r="K14" i="39"/>
  <c r="O12" i="77"/>
  <c r="O11" i="77" s="1"/>
  <c r="O11" i="94"/>
  <c r="O10" i="94" s="1"/>
  <c r="L15" i="66"/>
  <c r="N48" i="94"/>
  <c r="K18" i="77"/>
  <c r="P48" i="80"/>
  <c r="P10" i="80"/>
  <c r="O50" i="77"/>
  <c r="O50" i="66"/>
  <c r="O10" i="66"/>
  <c r="N9" i="51"/>
  <c r="Q11" i="80" s="1"/>
  <c r="P11" i="66"/>
  <c r="H5" i="56"/>
  <c r="N10" i="39"/>
  <c r="N48" i="39" s="1"/>
  <c r="M5" i="51"/>
  <c r="O11" i="39"/>
  <c r="K19" i="17"/>
  <c r="E22" i="17" s="1"/>
  <c r="Q20" i="17"/>
  <c r="Q21" i="17" s="1"/>
  <c r="Q22" i="17" s="1"/>
  <c r="Q23" i="17" s="1"/>
  <c r="I27" i="105" l="1"/>
  <c r="I28" i="105"/>
  <c r="H27" i="105"/>
  <c r="H28" i="105"/>
  <c r="J24" i="105"/>
  <c r="G18" i="105" s="1"/>
  <c r="F19" i="105"/>
  <c r="I64" i="100"/>
  <c r="K18" i="105"/>
  <c r="K24" i="105" s="1"/>
  <c r="I30" i="105"/>
  <c r="I31" i="105"/>
  <c r="E7" i="102"/>
  <c r="E7" i="101"/>
  <c r="E7" i="103"/>
  <c r="C16" i="101"/>
  <c r="C17" i="101" s="1"/>
  <c r="I5" i="95"/>
  <c r="I5" i="102"/>
  <c r="I5" i="101"/>
  <c r="I5" i="103"/>
  <c r="H16" i="94"/>
  <c r="C9" i="92" s="1"/>
  <c r="M15" i="66"/>
  <c r="C7" i="96"/>
  <c r="E7" i="95"/>
  <c r="O48" i="94"/>
  <c r="P12" i="77"/>
  <c r="P11" i="94"/>
  <c r="P10" i="94" s="1"/>
  <c r="L14" i="94"/>
  <c r="L14" i="39"/>
  <c r="F7" i="56" s="1"/>
  <c r="G7" i="92"/>
  <c r="B5" i="57"/>
  <c r="C5" i="67" s="1"/>
  <c r="C7" i="81"/>
  <c r="E7" i="56"/>
  <c r="G7" i="81"/>
  <c r="D7" i="81"/>
  <c r="K20" i="17"/>
  <c r="Y20" i="77"/>
  <c r="C9" i="95"/>
  <c r="J20" i="77"/>
  <c r="S20" i="77"/>
  <c r="N20" i="77"/>
  <c r="M20" i="77"/>
  <c r="H20" i="77"/>
  <c r="W20" i="77"/>
  <c r="R20" i="77"/>
  <c r="O20" i="77"/>
  <c r="V20" i="77"/>
  <c r="X20" i="77"/>
  <c r="K20" i="77"/>
  <c r="T20" i="77"/>
  <c r="L20" i="77"/>
  <c r="U20" i="77"/>
  <c r="P20" i="77"/>
  <c r="Z20" i="77"/>
  <c r="Q20" i="77"/>
  <c r="Q48" i="80"/>
  <c r="Q10" i="80"/>
  <c r="P11" i="77"/>
  <c r="P50" i="77"/>
  <c r="I5" i="56"/>
  <c r="O10" i="39"/>
  <c r="O48" i="39" s="1"/>
  <c r="P50" i="66"/>
  <c r="P10" i="66"/>
  <c r="N5" i="51"/>
  <c r="P11" i="39"/>
  <c r="O9" i="51"/>
  <c r="R11" i="80" s="1"/>
  <c r="Q11" i="66"/>
  <c r="F4" i="9"/>
  <c r="F9" i="95" l="1"/>
  <c r="F9" i="101"/>
  <c r="F9" i="103"/>
  <c r="F9" i="102"/>
  <c r="B9" i="95"/>
  <c r="B9" i="102"/>
  <c r="B9" i="101"/>
  <c r="B9" i="103"/>
  <c r="G9" i="95"/>
  <c r="G9" i="103"/>
  <c r="G9" i="102"/>
  <c r="G9" i="101"/>
  <c r="E9" i="101"/>
  <c r="E9" i="103"/>
  <c r="E9" i="102"/>
  <c r="H9" i="95"/>
  <c r="H9" i="103"/>
  <c r="H9" i="102"/>
  <c r="H9" i="101"/>
  <c r="K9" i="95"/>
  <c r="K9" i="102"/>
  <c r="K9" i="101"/>
  <c r="K9" i="103"/>
  <c r="D9" i="95"/>
  <c r="D9" i="102"/>
  <c r="D9" i="101"/>
  <c r="D9" i="103"/>
  <c r="I9" i="95"/>
  <c r="I9" i="103"/>
  <c r="I9" i="102"/>
  <c r="I9" i="101"/>
  <c r="J9" i="95"/>
  <c r="J9" i="102"/>
  <c r="J9" i="101"/>
  <c r="J9" i="103"/>
  <c r="K53" i="105"/>
  <c r="K55" i="105" s="1"/>
  <c r="K26" i="105"/>
  <c r="J64" i="100"/>
  <c r="L18" i="105"/>
  <c r="L24" i="105" s="1"/>
  <c r="G20" i="105"/>
  <c r="J53" i="105"/>
  <c r="J55" i="105" s="1"/>
  <c r="J25" i="105"/>
  <c r="G19" i="105"/>
  <c r="J26" i="105"/>
  <c r="G21" i="105"/>
  <c r="G22" i="105"/>
  <c r="G23" i="105"/>
  <c r="L18" i="77"/>
  <c r="F7" i="101" s="1"/>
  <c r="H31" i="105"/>
  <c r="H30" i="105"/>
  <c r="H32" i="105"/>
  <c r="J5" i="95"/>
  <c r="J5" i="102"/>
  <c r="J5" i="101"/>
  <c r="J5" i="103"/>
  <c r="E9" i="95"/>
  <c r="C9" i="96"/>
  <c r="M14" i="94"/>
  <c r="M14" i="39"/>
  <c r="G7" i="56" s="1"/>
  <c r="F7" i="96"/>
  <c r="D7" i="96"/>
  <c r="G7" i="96"/>
  <c r="E7" i="96"/>
  <c r="Q12" i="77"/>
  <c r="Q11" i="94"/>
  <c r="Q10" i="94" s="1"/>
  <c r="P48" i="94"/>
  <c r="N15" i="66"/>
  <c r="M18" i="77"/>
  <c r="W16" i="94"/>
  <c r="O16" i="94"/>
  <c r="V16" i="94"/>
  <c r="N16" i="94"/>
  <c r="T16" i="94"/>
  <c r="L16" i="94"/>
  <c r="S16" i="94"/>
  <c r="K16" i="94"/>
  <c r="M16" i="94"/>
  <c r="Z16" i="94"/>
  <c r="R16" i="94"/>
  <c r="J16" i="94"/>
  <c r="U16" i="94"/>
  <c r="Y16" i="94"/>
  <c r="Q16" i="94"/>
  <c r="I16" i="94"/>
  <c r="X16" i="94"/>
  <c r="P16" i="94"/>
  <c r="E7" i="81"/>
  <c r="F7" i="81"/>
  <c r="E9" i="92"/>
  <c r="C7" i="93"/>
  <c r="F9" i="92"/>
  <c r="G9" i="92"/>
  <c r="D9" i="92"/>
  <c r="G5" i="67"/>
  <c r="E5" i="67"/>
  <c r="F5" i="67" s="1"/>
  <c r="H5" i="67"/>
  <c r="R48" i="80"/>
  <c r="R10" i="80"/>
  <c r="Q11" i="77"/>
  <c r="Q50" i="77"/>
  <c r="J19" i="66"/>
  <c r="N19" i="66"/>
  <c r="R19" i="66"/>
  <c r="V19" i="66"/>
  <c r="Z19" i="66"/>
  <c r="P19" i="66"/>
  <c r="X19" i="66"/>
  <c r="M19" i="66"/>
  <c r="U19" i="66"/>
  <c r="K19" i="66"/>
  <c r="E12" i="57" s="1"/>
  <c r="O19" i="66"/>
  <c r="S19" i="66"/>
  <c r="W19" i="66"/>
  <c r="H19" i="66"/>
  <c r="L19" i="66"/>
  <c r="T19" i="66"/>
  <c r="I19" i="66"/>
  <c r="Q19" i="66"/>
  <c r="Y19" i="66"/>
  <c r="Q50" i="66"/>
  <c r="Q10" i="66"/>
  <c r="P9" i="51"/>
  <c r="S11" i="80" s="1"/>
  <c r="R11" i="66"/>
  <c r="J5" i="56"/>
  <c r="P10" i="39"/>
  <c r="P48" i="39" s="1"/>
  <c r="O5" i="51"/>
  <c r="Q11" i="39"/>
  <c r="K16" i="39"/>
  <c r="O16" i="39"/>
  <c r="I9" i="56" s="1"/>
  <c r="S16" i="39"/>
  <c r="W16" i="39"/>
  <c r="H16" i="39"/>
  <c r="L16" i="39"/>
  <c r="F9" i="56" s="1"/>
  <c r="P16" i="39"/>
  <c r="J9" i="56" s="1"/>
  <c r="T16" i="39"/>
  <c r="X16" i="39"/>
  <c r="Q16" i="39"/>
  <c r="K9" i="56" s="1"/>
  <c r="I16" i="39"/>
  <c r="C9" i="56" s="1"/>
  <c r="M16" i="39"/>
  <c r="G9" i="56" s="1"/>
  <c r="U16" i="39"/>
  <c r="Y16" i="39"/>
  <c r="J16" i="39"/>
  <c r="D9" i="56" s="1"/>
  <c r="N16" i="39"/>
  <c r="H9" i="56" s="1"/>
  <c r="R16" i="39"/>
  <c r="V16" i="39"/>
  <c r="Z16" i="39"/>
  <c r="J17" i="66"/>
  <c r="N17" i="66"/>
  <c r="R17" i="66"/>
  <c r="V17" i="66"/>
  <c r="Z17" i="66"/>
  <c r="K17" i="66"/>
  <c r="E7" i="57" s="1"/>
  <c r="C7" i="74" s="1"/>
  <c r="E7" i="74" s="1"/>
  <c r="F7" i="74" s="1"/>
  <c r="G7" i="74" s="1"/>
  <c r="H7" i="74" s="1"/>
  <c r="O17" i="66"/>
  <c r="S17" i="66"/>
  <c r="W17" i="66"/>
  <c r="H17" i="66"/>
  <c r="M17" i="66"/>
  <c r="Q17" i="66"/>
  <c r="Y17" i="66"/>
  <c r="L17" i="66"/>
  <c r="P17" i="66"/>
  <c r="T17" i="66"/>
  <c r="X17" i="66"/>
  <c r="I17" i="66"/>
  <c r="U17" i="66"/>
  <c r="G4" i="9"/>
  <c r="K27" i="105" l="1"/>
  <c r="K28" i="105"/>
  <c r="J27" i="105"/>
  <c r="J31" i="105" s="1"/>
  <c r="J28" i="105"/>
  <c r="F7" i="95"/>
  <c r="F7" i="103"/>
  <c r="F7" i="102"/>
  <c r="L53" i="105"/>
  <c r="L55" i="105" s="1"/>
  <c r="L26" i="105"/>
  <c r="K64" i="100"/>
  <c r="M18" i="105"/>
  <c r="M24" i="105" s="1"/>
  <c r="K31" i="105"/>
  <c r="K30" i="105"/>
  <c r="H41" i="105"/>
  <c r="H43" i="105" s="1"/>
  <c r="H40" i="105"/>
  <c r="H42" i="105" s="1"/>
  <c r="I32" i="105"/>
  <c r="G7" i="95"/>
  <c r="G7" i="103"/>
  <c r="G7" i="101"/>
  <c r="G7" i="102"/>
  <c r="K5" i="95"/>
  <c r="K5" i="101"/>
  <c r="K5" i="103"/>
  <c r="K5" i="102"/>
  <c r="O15" i="66"/>
  <c r="G9" i="96"/>
  <c r="F9" i="96"/>
  <c r="E9" i="96"/>
  <c r="D9" i="96"/>
  <c r="R12" i="77"/>
  <c r="R11" i="94"/>
  <c r="R10" i="94" s="1"/>
  <c r="B9" i="56"/>
  <c r="B9" i="91"/>
  <c r="N14" i="94"/>
  <c r="N14" i="39"/>
  <c r="H7" i="56" s="1"/>
  <c r="Q48" i="94"/>
  <c r="E7" i="93"/>
  <c r="N18" i="77"/>
  <c r="S48" i="80"/>
  <c r="S10" i="80"/>
  <c r="R11" i="77"/>
  <c r="R50" i="77"/>
  <c r="E9" i="81"/>
  <c r="D9" i="81"/>
  <c r="F9" i="81"/>
  <c r="G9" i="81"/>
  <c r="C9" i="81"/>
  <c r="C12" i="74"/>
  <c r="E15" i="57"/>
  <c r="E9" i="56"/>
  <c r="B7" i="57"/>
  <c r="C7" i="67" s="1"/>
  <c r="E7" i="67" s="1"/>
  <c r="F7" i="67" s="1"/>
  <c r="R50" i="66"/>
  <c r="R10" i="66"/>
  <c r="P5" i="51"/>
  <c r="R11" i="39"/>
  <c r="R10" i="39" s="1"/>
  <c r="R48" i="39" s="1"/>
  <c r="Q9" i="51"/>
  <c r="T11" i="80" s="1"/>
  <c r="S11" i="66"/>
  <c r="K5" i="56"/>
  <c r="Q10" i="39"/>
  <c r="Q48" i="39" s="1"/>
  <c r="H4" i="9"/>
  <c r="J30" i="105" l="1"/>
  <c r="L27" i="105"/>
  <c r="L30" i="105" s="1"/>
  <c r="L28" i="105"/>
  <c r="M53" i="105"/>
  <c r="M55" i="105" s="1"/>
  <c r="M26" i="105"/>
  <c r="L64" i="100"/>
  <c r="N18" i="105"/>
  <c r="N24" i="105" s="1"/>
  <c r="L31" i="105"/>
  <c r="I40" i="105"/>
  <c r="I42" i="105" s="1"/>
  <c r="I41" i="105"/>
  <c r="I43" i="105" s="1"/>
  <c r="J32" i="105"/>
  <c r="H7" i="95"/>
  <c r="H7" i="101"/>
  <c r="H7" i="102"/>
  <c r="H7" i="103"/>
  <c r="F7" i="93"/>
  <c r="R48" i="94"/>
  <c r="P15" i="66"/>
  <c r="S12" i="77"/>
  <c r="S11" i="94"/>
  <c r="S10" i="94" s="1"/>
  <c r="O18" i="77"/>
  <c r="O14" i="94"/>
  <c r="O14" i="39"/>
  <c r="I7" i="56" s="1"/>
  <c r="S11" i="77"/>
  <c r="S50" i="77"/>
  <c r="T48" i="80"/>
  <c r="T10" i="80"/>
  <c r="E12" i="74"/>
  <c r="C15" i="74"/>
  <c r="Q5" i="51"/>
  <c r="S11" i="39"/>
  <c r="S10" i="39" s="1"/>
  <c r="S48" i="39" s="1"/>
  <c r="S50" i="66"/>
  <c r="S10" i="66"/>
  <c r="R9" i="51"/>
  <c r="U11" i="80" s="1"/>
  <c r="T11" i="66"/>
  <c r="G7" i="67"/>
  <c r="I4" i="9"/>
  <c r="M27" i="105" l="1"/>
  <c r="M28" i="105"/>
  <c r="N53" i="105"/>
  <c r="N55" i="105" s="1"/>
  <c r="N26" i="105"/>
  <c r="M64" i="100"/>
  <c r="O18" i="105"/>
  <c r="O24" i="105" s="1"/>
  <c r="J41" i="105"/>
  <c r="J43" i="105" s="1"/>
  <c r="K32" i="105"/>
  <c r="J40" i="105"/>
  <c r="J42" i="105" s="1"/>
  <c r="M31" i="105"/>
  <c r="M30" i="105"/>
  <c r="I7" i="95"/>
  <c r="I7" i="102"/>
  <c r="I7" i="103"/>
  <c r="I7" i="101"/>
  <c r="P18" i="77"/>
  <c r="S48" i="94"/>
  <c r="G7" i="93"/>
  <c r="T12" i="77"/>
  <c r="T11" i="94"/>
  <c r="T10" i="94" s="1"/>
  <c r="P14" i="94"/>
  <c r="P14" i="39"/>
  <c r="J7" i="56" s="1"/>
  <c r="Q15" i="66"/>
  <c r="T11" i="77"/>
  <c r="T50" i="77"/>
  <c r="U48" i="80"/>
  <c r="U10" i="80"/>
  <c r="Z19" i="80"/>
  <c r="V19" i="80"/>
  <c r="R19" i="80"/>
  <c r="N19" i="80"/>
  <c r="Y19" i="80"/>
  <c r="U19" i="80"/>
  <c r="Q19" i="80"/>
  <c r="M19" i="80"/>
  <c r="I19" i="80"/>
  <c r="I49" i="80" s="1"/>
  <c r="X19" i="80"/>
  <c r="T19" i="80"/>
  <c r="P19" i="80"/>
  <c r="L19" i="80"/>
  <c r="H19" i="80"/>
  <c r="H49" i="80" s="1"/>
  <c r="S19" i="80"/>
  <c r="O19" i="80"/>
  <c r="K19" i="80"/>
  <c r="W19" i="80"/>
  <c r="I20" i="66"/>
  <c r="M20" i="66"/>
  <c r="Q20" i="66"/>
  <c r="U20" i="66"/>
  <c r="Y20" i="66"/>
  <c r="O20" i="66"/>
  <c r="S20" i="66"/>
  <c r="H20" i="66"/>
  <c r="L20" i="66"/>
  <c r="T20" i="66"/>
  <c r="X20" i="66"/>
  <c r="J20" i="66"/>
  <c r="N20" i="66"/>
  <c r="R20" i="66"/>
  <c r="V20" i="66"/>
  <c r="Z20" i="66"/>
  <c r="K20" i="66"/>
  <c r="W20" i="66"/>
  <c r="P20" i="66"/>
  <c r="E15" i="74"/>
  <c r="F12" i="74"/>
  <c r="T50" i="66"/>
  <c r="T10" i="66"/>
  <c r="S9" i="51"/>
  <c r="V11" i="80" s="1"/>
  <c r="U11" i="66"/>
  <c r="R5" i="51"/>
  <c r="T11" i="39"/>
  <c r="T10" i="39" s="1"/>
  <c r="T48" i="39" s="1"/>
  <c r="H7" i="67"/>
  <c r="J4" i="9"/>
  <c r="N27" i="105" l="1"/>
  <c r="N28" i="105"/>
  <c r="K41" i="105"/>
  <c r="K43" i="105" s="1"/>
  <c r="K40" i="105"/>
  <c r="K42" i="105" s="1"/>
  <c r="L32" i="105"/>
  <c r="O53" i="105"/>
  <c r="O55" i="105" s="1"/>
  <c r="O26" i="105"/>
  <c r="N64" i="100"/>
  <c r="Q18" i="77" s="1"/>
  <c r="P18" i="105"/>
  <c r="P24" i="105" s="1"/>
  <c r="N30" i="105"/>
  <c r="N31" i="105"/>
  <c r="J7" i="95"/>
  <c r="J7" i="101"/>
  <c r="J7" i="102"/>
  <c r="J7" i="103"/>
  <c r="H7" i="93"/>
  <c r="Q14" i="94"/>
  <c r="Q14" i="39"/>
  <c r="K7" i="56" s="1"/>
  <c r="R15" i="66"/>
  <c r="T48" i="94"/>
  <c r="U12" i="77"/>
  <c r="U50" i="77" s="1"/>
  <c r="U11" i="94"/>
  <c r="U10" i="94" s="1"/>
  <c r="U11" i="77"/>
  <c r="V48" i="80"/>
  <c r="V10" i="80"/>
  <c r="W49" i="80"/>
  <c r="U49" i="80"/>
  <c r="U50" i="80" s="1"/>
  <c r="U21" i="80"/>
  <c r="K49" i="80"/>
  <c r="K50" i="80" s="1"/>
  <c r="K21" i="80"/>
  <c r="L49" i="80"/>
  <c r="L50" i="80" s="1"/>
  <c r="L21" i="80"/>
  <c r="I50" i="80"/>
  <c r="I21" i="80"/>
  <c r="Y49" i="80"/>
  <c r="V49" i="80"/>
  <c r="V50" i="80" s="1"/>
  <c r="V21" i="80"/>
  <c r="X49" i="80"/>
  <c r="O49" i="80"/>
  <c r="O50" i="80" s="1"/>
  <c r="O21" i="80"/>
  <c r="P49" i="80"/>
  <c r="P50" i="80" s="1"/>
  <c r="P21" i="80"/>
  <c r="M49" i="80"/>
  <c r="M50" i="80" s="1"/>
  <c r="M21" i="80"/>
  <c r="J19" i="80"/>
  <c r="Z49" i="80"/>
  <c r="H50" i="80"/>
  <c r="H51" i="80" s="1"/>
  <c r="H21" i="80"/>
  <c r="R49" i="80"/>
  <c r="R50" i="80" s="1"/>
  <c r="R21" i="80"/>
  <c r="F15" i="74"/>
  <c r="G12" i="74"/>
  <c r="S49" i="80"/>
  <c r="S50" i="80" s="1"/>
  <c r="S21" i="80"/>
  <c r="T49" i="80"/>
  <c r="T50" i="80" s="1"/>
  <c r="T21" i="80"/>
  <c r="Q49" i="80"/>
  <c r="Q50" i="80" s="1"/>
  <c r="Q21" i="80"/>
  <c r="N49" i="80"/>
  <c r="N50" i="80" s="1"/>
  <c r="N21" i="80"/>
  <c r="T9" i="51"/>
  <c r="W11" i="80" s="1"/>
  <c r="V11" i="66"/>
  <c r="U50" i="66"/>
  <c r="U10" i="66"/>
  <c r="S5" i="51"/>
  <c r="U11" i="39"/>
  <c r="U10" i="39" s="1"/>
  <c r="U48" i="39" s="1"/>
  <c r="K4" i="9"/>
  <c r="O27" i="105" l="1"/>
  <c r="O28" i="105"/>
  <c r="P53" i="105"/>
  <c r="P55" i="105" s="1"/>
  <c r="P26" i="105"/>
  <c r="O64" i="100"/>
  <c r="R18" i="77" s="1"/>
  <c r="Q18" i="105"/>
  <c r="Q24" i="105" s="1"/>
  <c r="O30" i="105"/>
  <c r="O31" i="105"/>
  <c r="M32" i="105"/>
  <c r="L40" i="105"/>
  <c r="L42" i="105" s="1"/>
  <c r="L41" i="105"/>
  <c r="L43" i="105" s="1"/>
  <c r="K7" i="95"/>
  <c r="K7" i="102"/>
  <c r="K7" i="103"/>
  <c r="K7" i="101"/>
  <c r="U48" i="94"/>
  <c r="R14" i="94"/>
  <c r="R14" i="39"/>
  <c r="V12" i="77"/>
  <c r="V11" i="94"/>
  <c r="V10" i="94" s="1"/>
  <c r="S15" i="66"/>
  <c r="W48" i="80"/>
  <c r="W50" i="80" s="1"/>
  <c r="W10" i="80"/>
  <c r="W21" i="80" s="1"/>
  <c r="V11" i="77"/>
  <c r="V50" i="77"/>
  <c r="G15" i="74"/>
  <c r="H12" i="74"/>
  <c r="H15" i="74" s="1"/>
  <c r="P22" i="80"/>
  <c r="P23" i="80"/>
  <c r="P24" i="80"/>
  <c r="L22" i="80"/>
  <c r="L23" i="80"/>
  <c r="L24" i="80"/>
  <c r="N22" i="80"/>
  <c r="N23" i="80"/>
  <c r="N24" i="80"/>
  <c r="J49" i="80"/>
  <c r="J50" i="80" s="1"/>
  <c r="J21" i="80"/>
  <c r="G16" i="80"/>
  <c r="G14" i="80"/>
  <c r="G15" i="80"/>
  <c r="G17" i="80"/>
  <c r="U22" i="80"/>
  <c r="U23" i="80"/>
  <c r="U24" i="80"/>
  <c r="G18" i="80"/>
  <c r="Q24" i="80"/>
  <c r="Q23" i="80"/>
  <c r="Q22" i="80"/>
  <c r="S24" i="80"/>
  <c r="S23" i="80"/>
  <c r="S22" i="80"/>
  <c r="R23" i="80"/>
  <c r="R24" i="80"/>
  <c r="R22" i="80"/>
  <c r="M22" i="80"/>
  <c r="M23" i="80"/>
  <c r="M24" i="80"/>
  <c r="O23" i="80"/>
  <c r="O22" i="80"/>
  <c r="O24" i="80"/>
  <c r="V22" i="80"/>
  <c r="V24" i="80"/>
  <c r="V23" i="80"/>
  <c r="I22" i="80"/>
  <c r="I23" i="80"/>
  <c r="I24" i="80"/>
  <c r="K23" i="80"/>
  <c r="K24" i="80"/>
  <c r="K22" i="80"/>
  <c r="W22" i="80"/>
  <c r="W23" i="80"/>
  <c r="W24" i="80"/>
  <c r="T23" i="80"/>
  <c r="T22" i="80"/>
  <c r="T24" i="80"/>
  <c r="H23" i="80"/>
  <c r="H24" i="80"/>
  <c r="H22" i="80"/>
  <c r="V50" i="66"/>
  <c r="V10" i="66"/>
  <c r="T5" i="51"/>
  <c r="V11" i="39"/>
  <c r="V10" i="39" s="1"/>
  <c r="V48" i="39" s="1"/>
  <c r="U9" i="51"/>
  <c r="X11" i="80" s="1"/>
  <c r="W11" i="66"/>
  <c r="L4" i="9"/>
  <c r="E14" i="17"/>
  <c r="P27" i="105" l="1"/>
  <c r="P28" i="105"/>
  <c r="M40" i="105"/>
  <c r="M42" i="105" s="1"/>
  <c r="M41" i="105"/>
  <c r="M43" i="105" s="1"/>
  <c r="N32" i="105"/>
  <c r="Q53" i="105"/>
  <c r="Q55" i="105" s="1"/>
  <c r="Q26" i="105"/>
  <c r="P64" i="100"/>
  <c r="R18" i="105"/>
  <c r="R24" i="105" s="1"/>
  <c r="P30" i="105"/>
  <c r="P31" i="105"/>
  <c r="T15" i="66"/>
  <c r="S14" i="94"/>
  <c r="S14" i="39"/>
  <c r="W12" i="77"/>
  <c r="W11" i="77" s="1"/>
  <c r="W11" i="94"/>
  <c r="W10" i="94" s="1"/>
  <c r="V48" i="94"/>
  <c r="W50" i="77"/>
  <c r="X48" i="80"/>
  <c r="X50" i="80" s="1"/>
  <c r="X10" i="80"/>
  <c r="X21" i="80" s="1"/>
  <c r="I27" i="80"/>
  <c r="I28" i="80"/>
  <c r="V28" i="80"/>
  <c r="V27" i="80"/>
  <c r="S27" i="80"/>
  <c r="S28" i="80"/>
  <c r="L27" i="80"/>
  <c r="L28" i="80"/>
  <c r="U28" i="80"/>
  <c r="U27" i="80"/>
  <c r="R28" i="80"/>
  <c r="R27" i="80"/>
  <c r="H29" i="80"/>
  <c r="H27" i="80"/>
  <c r="H28" i="80"/>
  <c r="M27" i="80"/>
  <c r="M28" i="80"/>
  <c r="N28" i="80"/>
  <c r="N27" i="80"/>
  <c r="W28" i="80"/>
  <c r="W27" i="80"/>
  <c r="K28" i="80"/>
  <c r="K27" i="80"/>
  <c r="O27" i="80"/>
  <c r="O28" i="80"/>
  <c r="T27" i="80"/>
  <c r="T28" i="80"/>
  <c r="Q27" i="80"/>
  <c r="Q28" i="80"/>
  <c r="J23" i="80"/>
  <c r="J24" i="80"/>
  <c r="J22" i="80"/>
  <c r="P27" i="80"/>
  <c r="P28" i="80"/>
  <c r="U5" i="51"/>
  <c r="W11" i="39"/>
  <c r="W10" i="39" s="1"/>
  <c r="W48" i="39" s="1"/>
  <c r="W50" i="66"/>
  <c r="W10" i="66"/>
  <c r="V9" i="51"/>
  <c r="Y11" i="80" s="1"/>
  <c r="X11" i="66"/>
  <c r="E18" i="17"/>
  <c r="M4" i="9"/>
  <c r="Q27" i="105" l="1"/>
  <c r="Q28" i="105"/>
  <c r="R53" i="105"/>
  <c r="R55" i="105" s="1"/>
  <c r="R26" i="105"/>
  <c r="Q64" i="100"/>
  <c r="T18" i="77" s="1"/>
  <c r="S18" i="105"/>
  <c r="S24" i="105" s="1"/>
  <c r="Q31" i="105"/>
  <c r="Q30" i="105"/>
  <c r="S18" i="77"/>
  <c r="N41" i="105"/>
  <c r="N43" i="105" s="1"/>
  <c r="N40" i="105"/>
  <c r="N42" i="105" s="1"/>
  <c r="O32" i="105"/>
  <c r="T14" i="94"/>
  <c r="T14" i="39"/>
  <c r="X12" i="77"/>
  <c r="X11" i="77" s="1"/>
  <c r="X11" i="94"/>
  <c r="X10" i="94" s="1"/>
  <c r="U15" i="66"/>
  <c r="W48" i="94"/>
  <c r="Y48" i="80"/>
  <c r="Y50" i="80" s="1"/>
  <c r="Y10" i="80"/>
  <c r="Y21" i="80" s="1"/>
  <c r="X24" i="80"/>
  <c r="X22" i="80"/>
  <c r="X23" i="80"/>
  <c r="X50" i="77"/>
  <c r="J28" i="80"/>
  <c r="J27" i="80"/>
  <c r="H37" i="80"/>
  <c r="H39" i="80" s="1"/>
  <c r="H38" i="80"/>
  <c r="H40" i="80" s="1"/>
  <c r="I29" i="80"/>
  <c r="X50" i="66"/>
  <c r="X10" i="66"/>
  <c r="W9" i="51"/>
  <c r="Z11" i="80" s="1"/>
  <c r="Y11" i="66"/>
  <c r="V5" i="51"/>
  <c r="X11" i="39"/>
  <c r="X10" i="39" s="1"/>
  <c r="X48" i="39" s="1"/>
  <c r="N4" i="9"/>
  <c r="R27" i="105" l="1"/>
  <c r="R28" i="105"/>
  <c r="S53" i="105"/>
  <c r="S55" i="105" s="1"/>
  <c r="S26" i="105"/>
  <c r="R64" i="100"/>
  <c r="T18" i="105"/>
  <c r="T24" i="105" s="1"/>
  <c r="P32" i="105"/>
  <c r="O40" i="105"/>
  <c r="O42" i="105" s="1"/>
  <c r="O41" i="105"/>
  <c r="O43" i="105" s="1"/>
  <c r="R30" i="105"/>
  <c r="R31" i="105"/>
  <c r="V15" i="66"/>
  <c r="X48" i="94"/>
  <c r="Y12" i="77"/>
  <c r="Y11" i="94"/>
  <c r="Y10" i="94" s="1"/>
  <c r="U18" i="77"/>
  <c r="U14" i="94"/>
  <c r="U14" i="39"/>
  <c r="Y22" i="80"/>
  <c r="Y23" i="80"/>
  <c r="Y24" i="80"/>
  <c r="Z48" i="80"/>
  <c r="Z50" i="80" s="1"/>
  <c r="Z10" i="80"/>
  <c r="Z21" i="80" s="1"/>
  <c r="X28" i="80"/>
  <c r="X27" i="80"/>
  <c r="Y11" i="77"/>
  <c r="Y50" i="77"/>
  <c r="I38" i="80"/>
  <c r="I40" i="80" s="1"/>
  <c r="J29" i="80"/>
  <c r="I37" i="80"/>
  <c r="I39" i="80" s="1"/>
  <c r="Y50" i="66"/>
  <c r="Y10" i="66"/>
  <c r="X9" i="51"/>
  <c r="Z11" i="66"/>
  <c r="W5" i="51"/>
  <c r="Y11" i="39"/>
  <c r="Y10" i="39" s="1"/>
  <c r="Y48" i="39" s="1"/>
  <c r="O4" i="9"/>
  <c r="S27" i="105" l="1"/>
  <c r="S28" i="105"/>
  <c r="P41" i="105"/>
  <c r="P43" i="105" s="1"/>
  <c r="P40" i="105"/>
  <c r="P42" i="105" s="1"/>
  <c r="Q32" i="105"/>
  <c r="T53" i="105"/>
  <c r="T55" i="105" s="1"/>
  <c r="T26" i="105"/>
  <c r="S64" i="100"/>
  <c r="U18" i="105"/>
  <c r="U24" i="105" s="1"/>
  <c r="S31" i="105"/>
  <c r="S30" i="105"/>
  <c r="Y48" i="94"/>
  <c r="V14" i="94"/>
  <c r="V14" i="39"/>
  <c r="Z12" i="77"/>
  <c r="Z11" i="94"/>
  <c r="Z10" i="94" s="1"/>
  <c r="W15" i="66"/>
  <c r="Y28" i="80"/>
  <c r="Y27" i="80"/>
  <c r="G33" i="80"/>
  <c r="Z11" i="77"/>
  <c r="Z50" i="77"/>
  <c r="Z24" i="80"/>
  <c r="Z23" i="80"/>
  <c r="Z22" i="80"/>
  <c r="K29" i="80"/>
  <c r="J37" i="80"/>
  <c r="J39" i="80" s="1"/>
  <c r="J38" i="80"/>
  <c r="J40" i="80" s="1"/>
  <c r="Z50" i="66"/>
  <c r="Z10" i="66"/>
  <c r="X5" i="51"/>
  <c r="Z11" i="39"/>
  <c r="Z10" i="39" s="1"/>
  <c r="Z48" i="39" s="1"/>
  <c r="P4" i="9"/>
  <c r="T27" i="105" l="1"/>
  <c r="T28" i="105"/>
  <c r="T64" i="100"/>
  <c r="V18" i="105"/>
  <c r="V24" i="105" s="1"/>
  <c r="T30" i="105"/>
  <c r="T31" i="105"/>
  <c r="Q40" i="105"/>
  <c r="Q42" i="105" s="1"/>
  <c r="Q41" i="105"/>
  <c r="Q43" i="105" s="1"/>
  <c r="R32" i="105"/>
  <c r="U53" i="105"/>
  <c r="U55" i="105" s="1"/>
  <c r="U26" i="105"/>
  <c r="V18" i="77"/>
  <c r="W14" i="94"/>
  <c r="W14" i="39"/>
  <c r="X15" i="66"/>
  <c r="Z48" i="94"/>
  <c r="W18" i="77"/>
  <c r="Z28" i="80"/>
  <c r="Z27" i="80"/>
  <c r="G32" i="80" s="1"/>
  <c r="K37" i="80"/>
  <c r="K39" i="80" s="1"/>
  <c r="K38" i="80"/>
  <c r="K40" i="80" s="1"/>
  <c r="L29" i="80"/>
  <c r="Q4" i="9"/>
  <c r="U27" i="105" l="1"/>
  <c r="U28" i="105"/>
  <c r="R41" i="105"/>
  <c r="R43" i="105" s="1"/>
  <c r="R40" i="105"/>
  <c r="R42" i="105" s="1"/>
  <c r="S32" i="105"/>
  <c r="V53" i="105"/>
  <c r="V55" i="105" s="1"/>
  <c r="V26" i="105"/>
  <c r="U31" i="105"/>
  <c r="U30" i="105"/>
  <c r="U64" i="100"/>
  <c r="W18" i="105"/>
  <c r="W24" i="105" s="1"/>
  <c r="Y15" i="66"/>
  <c r="X14" i="94"/>
  <c r="X14" i="39"/>
  <c r="L37" i="80"/>
  <c r="L39" i="80" s="1"/>
  <c r="L38" i="80"/>
  <c r="L40" i="80" s="1"/>
  <c r="M29" i="80"/>
  <c r="R4" i="9"/>
  <c r="V27" i="105" l="1"/>
  <c r="V28" i="105"/>
  <c r="V30" i="105"/>
  <c r="V31" i="105"/>
  <c r="V64" i="100"/>
  <c r="X18" i="105"/>
  <c r="X24" i="105" s="1"/>
  <c r="T32" i="105"/>
  <c r="S40" i="105"/>
  <c r="S42" i="105" s="1"/>
  <c r="S41" i="105"/>
  <c r="S43" i="105" s="1"/>
  <c r="X18" i="77"/>
  <c r="W53" i="105"/>
  <c r="W55" i="105" s="1"/>
  <c r="W26" i="105"/>
  <c r="Y18" i="77"/>
  <c r="Y14" i="94"/>
  <c r="Y14" i="39"/>
  <c r="Z15" i="66"/>
  <c r="M38" i="80"/>
  <c r="M40" i="80" s="1"/>
  <c r="N29" i="80"/>
  <c r="M37" i="80"/>
  <c r="M39" i="80" s="1"/>
  <c r="S4" i="9"/>
  <c r="W27" i="105" l="1"/>
  <c r="W28" i="105"/>
  <c r="U32" i="105"/>
  <c r="T40" i="105"/>
  <c r="T42" i="105" s="1"/>
  <c r="T41" i="105"/>
  <c r="T43" i="105" s="1"/>
  <c r="W64" i="100"/>
  <c r="Z18" i="77" s="1"/>
  <c r="Y18" i="105"/>
  <c r="Y24" i="105" s="1"/>
  <c r="W30" i="105"/>
  <c r="W31" i="105"/>
  <c r="X53" i="105"/>
  <c r="X55" i="105" s="1"/>
  <c r="X26" i="105"/>
  <c r="Z14" i="94"/>
  <c r="Z14" i="39"/>
  <c r="O29" i="80"/>
  <c r="N37" i="80"/>
  <c r="N39" i="80" s="1"/>
  <c r="N38" i="80"/>
  <c r="N40" i="80" s="1"/>
  <c r="T4" i="9"/>
  <c r="X27" i="105" l="1"/>
  <c r="X28" i="105"/>
  <c r="X64" i="100"/>
  <c r="Z18" i="105"/>
  <c r="Z24" i="105" s="1"/>
  <c r="Y53" i="105"/>
  <c r="Y55" i="105" s="1"/>
  <c r="Y26" i="105"/>
  <c r="X31" i="105"/>
  <c r="X30" i="105"/>
  <c r="U40" i="105"/>
  <c r="U42" i="105" s="1"/>
  <c r="V32" i="105"/>
  <c r="U41" i="105"/>
  <c r="U43" i="105" s="1"/>
  <c r="O37" i="80"/>
  <c r="O39" i="80" s="1"/>
  <c r="O38" i="80"/>
  <c r="O40" i="80" s="1"/>
  <c r="P29" i="80"/>
  <c r="U4" i="9"/>
  <c r="Y27" i="105" l="1"/>
  <c r="Y28" i="105"/>
  <c r="W32" i="105"/>
  <c r="V40" i="105"/>
  <c r="V42" i="105" s="1"/>
  <c r="V41" i="105"/>
  <c r="V43" i="105" s="1"/>
  <c r="Z53" i="105"/>
  <c r="Z55" i="105" s="1"/>
  <c r="Z26" i="105"/>
  <c r="Y31" i="105"/>
  <c r="Y30" i="105"/>
  <c r="P37" i="80"/>
  <c r="P39" i="80" s="1"/>
  <c r="P38" i="80"/>
  <c r="P40" i="80" s="1"/>
  <c r="Q29" i="80"/>
  <c r="V4" i="9"/>
  <c r="Z27" i="105" l="1"/>
  <c r="Z28" i="105"/>
  <c r="Z30" i="105"/>
  <c r="G35" i="105" s="1"/>
  <c r="Z31" i="105"/>
  <c r="G36" i="105"/>
  <c r="X32" i="105"/>
  <c r="W40" i="105"/>
  <c r="W42" i="105" s="1"/>
  <c r="W41" i="105"/>
  <c r="W43" i="105" s="1"/>
  <c r="Q38" i="80"/>
  <c r="Q40" i="80" s="1"/>
  <c r="R29" i="80"/>
  <c r="Q37" i="80"/>
  <c r="Q39" i="80" s="1"/>
  <c r="W4" i="9"/>
  <c r="X41" i="105" l="1"/>
  <c r="X43" i="105" s="1"/>
  <c r="Y32" i="105"/>
  <c r="X40" i="105"/>
  <c r="X42" i="105" s="1"/>
  <c r="S29" i="80"/>
  <c r="R37" i="80"/>
  <c r="R39" i="80" s="1"/>
  <c r="R38" i="80"/>
  <c r="R40" i="80" s="1"/>
  <c r="F5" i="9"/>
  <c r="Y41" i="105" l="1"/>
  <c r="Y43" i="105" s="1"/>
  <c r="Z32" i="105"/>
  <c r="Y40" i="105"/>
  <c r="Y42" i="105" s="1"/>
  <c r="S37" i="80"/>
  <c r="S39" i="80" s="1"/>
  <c r="S38" i="80"/>
  <c r="S40" i="80" s="1"/>
  <c r="T29" i="80"/>
  <c r="G5" i="9"/>
  <c r="Z41" i="105" l="1"/>
  <c r="Z43" i="105" s="1"/>
  <c r="G38" i="105" s="1"/>
  <c r="Z40" i="105"/>
  <c r="Z42" i="105" s="1"/>
  <c r="G37" i="105" s="1"/>
  <c r="T37" i="80"/>
  <c r="T39" i="80" s="1"/>
  <c r="T38" i="80"/>
  <c r="T40" i="80" s="1"/>
  <c r="U29" i="80"/>
  <c r="H5" i="9"/>
  <c r="U38" i="80" l="1"/>
  <c r="U40" i="80" s="1"/>
  <c r="V29" i="80"/>
  <c r="U37" i="80"/>
  <c r="U39" i="80" s="1"/>
  <c r="J5" i="9"/>
  <c r="I5" i="9"/>
  <c r="W29" i="80" l="1"/>
  <c r="V37" i="80"/>
  <c r="V39" i="80" s="1"/>
  <c r="V38" i="80"/>
  <c r="V40" i="80" s="1"/>
  <c r="K5" i="9"/>
  <c r="W37" i="80" l="1"/>
  <c r="W39" i="80" s="1"/>
  <c r="W38" i="80"/>
  <c r="W40" i="80" s="1"/>
  <c r="X29" i="80"/>
  <c r="L5" i="9"/>
  <c r="X37" i="80" l="1"/>
  <c r="X39" i="80" s="1"/>
  <c r="X38" i="80"/>
  <c r="X40" i="80" s="1"/>
  <c r="Y29" i="80"/>
  <c r="M5" i="9"/>
  <c r="Y38" i="80" l="1"/>
  <c r="Y40" i="80" s="1"/>
  <c r="Z29" i="80"/>
  <c r="Y37" i="80"/>
  <c r="Y39" i="80" s="1"/>
  <c r="N5" i="9"/>
  <c r="Z37" i="80" l="1"/>
  <c r="Z39" i="80" s="1"/>
  <c r="G34" i="80" s="1"/>
  <c r="Z38" i="80"/>
  <c r="Z40" i="80" s="1"/>
  <c r="G35" i="80" s="1"/>
  <c r="O5" i="9"/>
  <c r="P5" i="9" l="1"/>
  <c r="Q5" i="9" l="1"/>
  <c r="R5" i="9" l="1"/>
  <c r="S5" i="9" l="1"/>
  <c r="T5" i="9" l="1"/>
  <c r="U5" i="9" l="1"/>
  <c r="V5" i="9" l="1"/>
  <c r="W5" i="9" l="1"/>
  <c r="E5" i="9" l="1"/>
  <c r="D4" i="16" l="1"/>
  <c r="D3" i="16" s="1"/>
  <c r="D18" i="16"/>
  <c r="D21" i="16" l="1"/>
  <c r="C45" i="16"/>
  <c r="C44" i="16"/>
  <c r="C11" i="59" l="1"/>
  <c r="C10" i="59" s="1"/>
  <c r="B18" i="60" s="1"/>
  <c r="G8" i="94"/>
  <c r="K18" i="17"/>
  <c r="C21" i="60" l="1"/>
  <c r="E21" i="60"/>
  <c r="D21" i="60"/>
  <c r="D20" i="60"/>
  <c r="D22" i="60" s="1"/>
  <c r="D11" i="58" s="1"/>
  <c r="F20" i="60"/>
  <c r="I21" i="60"/>
  <c r="G21" i="60"/>
  <c r="G20" i="60"/>
  <c r="H20" i="60"/>
  <c r="H21" i="60"/>
  <c r="B23" i="60"/>
  <c r="J21" i="60"/>
  <c r="J20" i="60"/>
  <c r="E20" i="60"/>
  <c r="E22" i="60" s="1"/>
  <c r="E11" i="58" s="1"/>
  <c r="F21" i="60"/>
  <c r="I20" i="60"/>
  <c r="I22" i="60" s="1"/>
  <c r="I11" i="58" s="1"/>
  <c r="C9" i="59"/>
  <c r="D8" i="77"/>
  <c r="D10" i="77" s="1"/>
  <c r="D27" i="77" s="1"/>
  <c r="F14" i="92"/>
  <c r="B14" i="91"/>
  <c r="E14" i="92"/>
  <c r="C14" i="92"/>
  <c r="G14" i="92"/>
  <c r="D14" i="92"/>
  <c r="C8" i="94"/>
  <c r="D8" i="94"/>
  <c r="E8" i="94"/>
  <c r="F8" i="94"/>
  <c r="G9" i="94"/>
  <c r="C27" i="77"/>
  <c r="G10" i="77"/>
  <c r="C15" i="59" s="1"/>
  <c r="E8" i="77"/>
  <c r="E10" i="77" s="1"/>
  <c r="E27" i="77" s="1"/>
  <c r="F8" i="77"/>
  <c r="F10" i="77" s="1"/>
  <c r="F27" i="77" s="1"/>
  <c r="G9" i="39"/>
  <c r="G14" i="81"/>
  <c r="F14" i="81"/>
  <c r="D14" i="81"/>
  <c r="E14" i="81"/>
  <c r="C14" i="81"/>
  <c r="D14" i="56"/>
  <c r="H14" i="56"/>
  <c r="B14" i="56"/>
  <c r="E14" i="56"/>
  <c r="I14" i="56"/>
  <c r="F14" i="56"/>
  <c r="J14" i="56"/>
  <c r="C14" i="56"/>
  <c r="G14" i="56"/>
  <c r="K14" i="56"/>
  <c r="C20" i="60"/>
  <c r="C22" i="60" s="1"/>
  <c r="C11" i="58" s="1"/>
  <c r="B24" i="60"/>
  <c r="B25" i="60" s="1"/>
  <c r="C18" i="60"/>
  <c r="B14" i="57"/>
  <c r="C13" i="67" s="1"/>
  <c r="E13" i="67" s="1"/>
  <c r="F13" i="67" s="1"/>
  <c r="G13" i="67" s="1"/>
  <c r="H13" i="67" s="1"/>
  <c r="E8" i="39"/>
  <c r="F8" i="39"/>
  <c r="D8" i="39"/>
  <c r="C8" i="39"/>
  <c r="E21" i="17"/>
  <c r="K21" i="17"/>
  <c r="K22" i="17" s="1"/>
  <c r="G22" i="60" l="1"/>
  <c r="G11" i="58" s="1"/>
  <c r="J22" i="60"/>
  <c r="J11" i="58" s="1"/>
  <c r="C13" i="59"/>
  <c r="C14" i="59"/>
  <c r="B29" i="60" s="1"/>
  <c r="B13" i="57"/>
  <c r="C14" i="67" s="1"/>
  <c r="E14" i="67" s="1"/>
  <c r="G14" i="67" s="1"/>
  <c r="B6" i="58"/>
  <c r="B10" i="58" s="1"/>
  <c r="F22" i="60"/>
  <c r="F11" i="58" s="1"/>
  <c r="H22" i="60"/>
  <c r="H11" i="58" s="1"/>
  <c r="H22" i="77"/>
  <c r="W22" i="77"/>
  <c r="P22" i="77"/>
  <c r="N22" i="77"/>
  <c r="C11" i="95"/>
  <c r="V22" i="77"/>
  <c r="X22" i="77"/>
  <c r="M22" i="77"/>
  <c r="O22" i="77"/>
  <c r="L22" i="77"/>
  <c r="K22" i="77"/>
  <c r="Z22" i="77"/>
  <c r="Q22" i="77"/>
  <c r="R22" i="77"/>
  <c r="U22" i="77"/>
  <c r="T22" i="77"/>
  <c r="Y22" i="77"/>
  <c r="S22" i="77"/>
  <c r="J22" i="77"/>
  <c r="H18" i="94"/>
  <c r="F25" i="94"/>
  <c r="F9" i="94"/>
  <c r="E25" i="94"/>
  <c r="E9" i="94"/>
  <c r="D25" i="94"/>
  <c r="D9" i="94"/>
  <c r="J14" i="95"/>
  <c r="H14" i="95"/>
  <c r="C14" i="95"/>
  <c r="K14" i="95"/>
  <c r="D14" i="95"/>
  <c r="B14" i="95"/>
  <c r="C14" i="96" s="1"/>
  <c r="E14" i="95"/>
  <c r="F14" i="95"/>
  <c r="I14" i="95"/>
  <c r="G14" i="95"/>
  <c r="C9" i="94"/>
  <c r="C25" i="94"/>
  <c r="C23" i="60"/>
  <c r="C19" i="60"/>
  <c r="D9" i="39"/>
  <c r="D25" i="39"/>
  <c r="C9" i="39"/>
  <c r="C25" i="39"/>
  <c r="F9" i="39"/>
  <c r="F25" i="39"/>
  <c r="E9" i="39"/>
  <c r="E25" i="39"/>
  <c r="G11" i="95" l="1"/>
  <c r="G11" i="102"/>
  <c r="G11" i="101"/>
  <c r="G11" i="103"/>
  <c r="K11" i="95"/>
  <c r="K11" i="103"/>
  <c r="K11" i="102"/>
  <c r="K11" i="101"/>
  <c r="H11" i="95"/>
  <c r="H11" i="102"/>
  <c r="H11" i="101"/>
  <c r="H11" i="103"/>
  <c r="D11" i="95"/>
  <c r="D11" i="103"/>
  <c r="D11" i="102"/>
  <c r="D11" i="101"/>
  <c r="F20" i="77"/>
  <c r="E11" i="103"/>
  <c r="E11" i="102"/>
  <c r="E11" i="101"/>
  <c r="J11" i="95"/>
  <c r="J11" i="103"/>
  <c r="J11" i="102"/>
  <c r="J11" i="101"/>
  <c r="F11" i="95"/>
  <c r="F11" i="103"/>
  <c r="F11" i="102"/>
  <c r="F11" i="101"/>
  <c r="I11" i="95"/>
  <c r="I11" i="101"/>
  <c r="I11" i="103"/>
  <c r="I11" i="102"/>
  <c r="B11" i="95"/>
  <c r="B11" i="101"/>
  <c r="B11" i="103"/>
  <c r="B11" i="102"/>
  <c r="F14" i="67"/>
  <c r="H14" i="67" s="1"/>
  <c r="B34" i="60"/>
  <c r="H32" i="60"/>
  <c r="C32" i="60"/>
  <c r="E31" i="60"/>
  <c r="I31" i="60"/>
  <c r="D31" i="60"/>
  <c r="D33" i="60" s="1"/>
  <c r="D11" i="97" s="1"/>
  <c r="G32" i="60"/>
  <c r="J32" i="60"/>
  <c r="D32" i="60"/>
  <c r="H31" i="60"/>
  <c r="H33" i="60" s="1"/>
  <c r="H11" i="97" s="1"/>
  <c r="J31" i="60"/>
  <c r="G31" i="60"/>
  <c r="F32" i="60"/>
  <c r="E32" i="60"/>
  <c r="E33" i="60" s="1"/>
  <c r="E11" i="97" s="1"/>
  <c r="C29" i="60"/>
  <c r="I32" i="60"/>
  <c r="F31" i="60"/>
  <c r="C31" i="60"/>
  <c r="C33" i="60" s="1"/>
  <c r="C11" i="97" s="1"/>
  <c r="S18" i="94"/>
  <c r="K18" i="94"/>
  <c r="Z18" i="94"/>
  <c r="R18" i="94"/>
  <c r="J18" i="94"/>
  <c r="X18" i="94"/>
  <c r="P18" i="94"/>
  <c r="W18" i="94"/>
  <c r="O18" i="94"/>
  <c r="Y18" i="94"/>
  <c r="V18" i="94"/>
  <c r="N18" i="94"/>
  <c r="Q18" i="94"/>
  <c r="U18" i="94"/>
  <c r="M18" i="94"/>
  <c r="I18" i="94"/>
  <c r="T18" i="94"/>
  <c r="L18" i="94"/>
  <c r="C12" i="93"/>
  <c r="C11" i="92"/>
  <c r="N23" i="77"/>
  <c r="M23" i="77"/>
  <c r="H23" i="77"/>
  <c r="T23" i="77"/>
  <c r="V23" i="77"/>
  <c r="Z23" i="77"/>
  <c r="L23" i="77"/>
  <c r="C12" i="95"/>
  <c r="C6" i="95" s="1"/>
  <c r="C13" i="95" s="1"/>
  <c r="C15" i="95" s="1"/>
  <c r="C16" i="95" s="1"/>
  <c r="C17" i="95" s="1"/>
  <c r="C5" i="97" s="1"/>
  <c r="W23" i="77"/>
  <c r="Y23" i="77"/>
  <c r="K23" i="77"/>
  <c r="R23" i="77"/>
  <c r="Q23" i="77"/>
  <c r="S23" i="77"/>
  <c r="J23" i="77"/>
  <c r="P23" i="77"/>
  <c r="U23" i="77"/>
  <c r="X23" i="77"/>
  <c r="O23" i="77"/>
  <c r="E11" i="95"/>
  <c r="C11" i="96"/>
  <c r="G14" i="96"/>
  <c r="F14" i="96"/>
  <c r="E14" i="96"/>
  <c r="D14" i="96"/>
  <c r="D18" i="60"/>
  <c r="C24" i="60"/>
  <c r="C25" i="60" s="1"/>
  <c r="C6" i="58" s="1"/>
  <c r="C10" i="58" s="1"/>
  <c r="I18" i="39"/>
  <c r="C11" i="56" s="1"/>
  <c r="M18" i="39"/>
  <c r="G11" i="56" s="1"/>
  <c r="Q18" i="39"/>
  <c r="K11" i="56" s="1"/>
  <c r="U18" i="39"/>
  <c r="Y18" i="39"/>
  <c r="P18" i="39"/>
  <c r="J11" i="56" s="1"/>
  <c r="J18" i="39"/>
  <c r="D11" i="56" s="1"/>
  <c r="N18" i="39"/>
  <c r="H11" i="56" s="1"/>
  <c r="R18" i="39"/>
  <c r="V18" i="39"/>
  <c r="Z18" i="39"/>
  <c r="L18" i="39"/>
  <c r="F11" i="56" s="1"/>
  <c r="X18" i="39"/>
  <c r="K18" i="39"/>
  <c r="O18" i="39"/>
  <c r="I11" i="56" s="1"/>
  <c r="S18" i="39"/>
  <c r="W18" i="39"/>
  <c r="H18" i="39"/>
  <c r="T18" i="39"/>
  <c r="D12" i="95" l="1"/>
  <c r="D6" i="95" s="1"/>
  <c r="D13" i="95" s="1"/>
  <c r="D15" i="95" s="1"/>
  <c r="D16" i="95" s="1"/>
  <c r="D17" i="95" s="1"/>
  <c r="D5" i="97" s="1"/>
  <c r="D12" i="102"/>
  <c r="D6" i="102" s="1"/>
  <c r="D13" i="102" s="1"/>
  <c r="D15" i="102" s="1"/>
  <c r="D16" i="102" s="1"/>
  <c r="D17" i="102" s="1"/>
  <c r="D12" i="103"/>
  <c r="D6" i="103" s="1"/>
  <c r="D13" i="103" s="1"/>
  <c r="D15" i="103" s="1"/>
  <c r="D12" i="101"/>
  <c r="D6" i="101" s="1"/>
  <c r="D13" i="101" s="1"/>
  <c r="D15" i="101" s="1"/>
  <c r="B17" i="99"/>
  <c r="F19" i="77"/>
  <c r="B21" i="99"/>
  <c r="F12" i="95"/>
  <c r="F6" i="95" s="1"/>
  <c r="F13" i="95" s="1"/>
  <c r="F15" i="95" s="1"/>
  <c r="F16" i="95" s="1"/>
  <c r="F17" i="95" s="1"/>
  <c r="F5" i="97" s="1"/>
  <c r="F12" i="101"/>
  <c r="F6" i="101" s="1"/>
  <c r="F13" i="101" s="1"/>
  <c r="F15" i="101" s="1"/>
  <c r="F12" i="102"/>
  <c r="F6" i="102" s="1"/>
  <c r="F13" i="102" s="1"/>
  <c r="F15" i="102" s="1"/>
  <c r="F12" i="103"/>
  <c r="F6" i="103" s="1"/>
  <c r="F13" i="103" s="1"/>
  <c r="F15" i="103" s="1"/>
  <c r="F16" i="103" s="1"/>
  <c r="F17" i="103" s="1"/>
  <c r="K12" i="95"/>
  <c r="K6" i="95" s="1"/>
  <c r="K13" i="95" s="1"/>
  <c r="K15" i="95" s="1"/>
  <c r="K16" i="95" s="1"/>
  <c r="K17" i="95" s="1"/>
  <c r="K12" i="102"/>
  <c r="K6" i="102" s="1"/>
  <c r="K13" i="102" s="1"/>
  <c r="K15" i="102" s="1"/>
  <c r="K16" i="102" s="1"/>
  <c r="K17" i="102" s="1"/>
  <c r="K12" i="101"/>
  <c r="K6" i="101" s="1"/>
  <c r="K13" i="101" s="1"/>
  <c r="K15" i="101" s="1"/>
  <c r="K16" i="101" s="1"/>
  <c r="K17" i="101" s="1"/>
  <c r="K12" i="103"/>
  <c r="K6" i="103" s="1"/>
  <c r="K13" i="103" s="1"/>
  <c r="K15" i="103" s="1"/>
  <c r="K16" i="103" s="1"/>
  <c r="K17" i="103" s="1"/>
  <c r="H12" i="95"/>
  <c r="H6" i="95" s="1"/>
  <c r="H13" i="95" s="1"/>
  <c r="H15" i="95" s="1"/>
  <c r="H16" i="95" s="1"/>
  <c r="H17" i="95" s="1"/>
  <c r="H5" i="97" s="1"/>
  <c r="H12" i="102"/>
  <c r="H6" i="102" s="1"/>
  <c r="H13" i="102" s="1"/>
  <c r="H15" i="102" s="1"/>
  <c r="H16" i="102" s="1"/>
  <c r="H17" i="102" s="1"/>
  <c r="H12" i="101"/>
  <c r="H6" i="101" s="1"/>
  <c r="H13" i="101" s="1"/>
  <c r="H15" i="101" s="1"/>
  <c r="H16" i="101" s="1"/>
  <c r="H17" i="101" s="1"/>
  <c r="H12" i="103"/>
  <c r="H6" i="103" s="1"/>
  <c r="H13" i="103" s="1"/>
  <c r="H15" i="103" s="1"/>
  <c r="H16" i="103" s="1"/>
  <c r="H17" i="103" s="1"/>
  <c r="J12" i="95"/>
  <c r="J6" i="95" s="1"/>
  <c r="J13" i="95" s="1"/>
  <c r="J15" i="95" s="1"/>
  <c r="J16" i="95" s="1"/>
  <c r="J17" i="95" s="1"/>
  <c r="J5" i="97" s="1"/>
  <c r="J12" i="101"/>
  <c r="J6" i="101" s="1"/>
  <c r="J13" i="101" s="1"/>
  <c r="J15" i="101" s="1"/>
  <c r="J12" i="102"/>
  <c r="J6" i="102" s="1"/>
  <c r="J13" i="102" s="1"/>
  <c r="J15" i="102" s="1"/>
  <c r="J12" i="103"/>
  <c r="J6" i="103" s="1"/>
  <c r="J13" i="103" s="1"/>
  <c r="J15" i="103" s="1"/>
  <c r="J16" i="103" s="1"/>
  <c r="J17" i="103" s="1"/>
  <c r="I12" i="95"/>
  <c r="I6" i="95" s="1"/>
  <c r="I13" i="95" s="1"/>
  <c r="I15" i="95" s="1"/>
  <c r="I16" i="95" s="1"/>
  <c r="I17" i="95" s="1"/>
  <c r="I5" i="97" s="1"/>
  <c r="I12" i="102"/>
  <c r="I6" i="102" s="1"/>
  <c r="I13" i="102" s="1"/>
  <c r="I15" i="102" s="1"/>
  <c r="I12" i="101"/>
  <c r="I6" i="101" s="1"/>
  <c r="I13" i="101" s="1"/>
  <c r="I15" i="101" s="1"/>
  <c r="I16" i="101" s="1"/>
  <c r="I17" i="101" s="1"/>
  <c r="I12" i="103"/>
  <c r="I6" i="103" s="1"/>
  <c r="I13" i="103" s="1"/>
  <c r="I15" i="103" s="1"/>
  <c r="I16" i="103" s="1"/>
  <c r="I17" i="103" s="1"/>
  <c r="E12" i="103"/>
  <c r="E6" i="103" s="1"/>
  <c r="E13" i="103" s="1"/>
  <c r="E15" i="103" s="1"/>
  <c r="E16" i="103" s="1"/>
  <c r="E17" i="103" s="1"/>
  <c r="E12" i="101"/>
  <c r="E6" i="101" s="1"/>
  <c r="E13" i="101" s="1"/>
  <c r="E15" i="101" s="1"/>
  <c r="E12" i="102"/>
  <c r="E6" i="102" s="1"/>
  <c r="E13" i="102" s="1"/>
  <c r="E15" i="102" s="1"/>
  <c r="B12" i="95"/>
  <c r="B6" i="95" s="1"/>
  <c r="B13" i="95" s="1"/>
  <c r="B15" i="95" s="1"/>
  <c r="B16" i="95" s="1"/>
  <c r="B17" i="95" s="1"/>
  <c r="B5" i="97" s="1"/>
  <c r="B12" i="102"/>
  <c r="B6" i="102" s="1"/>
  <c r="B13" i="102" s="1"/>
  <c r="B15" i="102" s="1"/>
  <c r="B16" i="102" s="1"/>
  <c r="B17" i="102" s="1"/>
  <c r="B12" i="103"/>
  <c r="B6" i="103" s="1"/>
  <c r="B13" i="103" s="1"/>
  <c r="B15" i="103" s="1"/>
  <c r="B16" i="103" s="1"/>
  <c r="B17" i="103" s="1"/>
  <c r="B12" i="101"/>
  <c r="B6" i="101" s="1"/>
  <c r="B13" i="101" s="1"/>
  <c r="B15" i="101" s="1"/>
  <c r="B16" i="101" s="1"/>
  <c r="B17" i="101" s="1"/>
  <c r="G12" i="95"/>
  <c r="G6" i="95" s="1"/>
  <c r="G13" i="95" s="1"/>
  <c r="G15" i="95" s="1"/>
  <c r="G16" i="95" s="1"/>
  <c r="G17" i="95" s="1"/>
  <c r="G5" i="97" s="1"/>
  <c r="G12" i="102"/>
  <c r="G6" i="102" s="1"/>
  <c r="G13" i="102" s="1"/>
  <c r="G15" i="102" s="1"/>
  <c r="G16" i="102" s="1"/>
  <c r="G17" i="102" s="1"/>
  <c r="G12" i="103"/>
  <c r="G6" i="103" s="1"/>
  <c r="G13" i="103" s="1"/>
  <c r="G15" i="103" s="1"/>
  <c r="G16" i="103" s="1"/>
  <c r="G17" i="103" s="1"/>
  <c r="G12" i="101"/>
  <c r="G6" i="101" s="1"/>
  <c r="G13" i="101" s="1"/>
  <c r="G15" i="101" s="1"/>
  <c r="G16" i="101" s="1"/>
  <c r="G17" i="101" s="1"/>
  <c r="I33" i="60"/>
  <c r="I11" i="97" s="1"/>
  <c r="C34" i="60"/>
  <c r="C30" i="60"/>
  <c r="G33" i="60"/>
  <c r="G11" i="97" s="1"/>
  <c r="J33" i="60"/>
  <c r="J11" i="97" s="1"/>
  <c r="F33" i="60"/>
  <c r="F11" i="97" s="1"/>
  <c r="B35" i="60"/>
  <c r="B36" i="60"/>
  <c r="B6" i="97" s="1"/>
  <c r="B10" i="97" s="1"/>
  <c r="B13" i="97" s="1"/>
  <c r="D11" i="96"/>
  <c r="F11" i="96"/>
  <c r="G11" i="96"/>
  <c r="E11" i="96"/>
  <c r="G11" i="92"/>
  <c r="D11" i="92"/>
  <c r="E11" i="92"/>
  <c r="F11" i="92"/>
  <c r="B11" i="56"/>
  <c r="B11" i="91"/>
  <c r="C15" i="93"/>
  <c r="E12" i="93"/>
  <c r="E12" i="95"/>
  <c r="E6" i="95" s="1"/>
  <c r="E13" i="95" s="1"/>
  <c r="E15" i="95" s="1"/>
  <c r="E16" i="95" s="1"/>
  <c r="E17" i="95" s="1"/>
  <c r="E5" i="97" s="1"/>
  <c r="C12" i="96"/>
  <c r="C6" i="96" s="1"/>
  <c r="F11" i="81"/>
  <c r="D11" i="81"/>
  <c r="E11" i="81"/>
  <c r="G11" i="81"/>
  <c r="C11" i="81"/>
  <c r="D19" i="60"/>
  <c r="D24" i="60" s="1"/>
  <c r="D23" i="60"/>
  <c r="E11" i="56"/>
  <c r="B12" i="57"/>
  <c r="C12" i="67" s="1"/>
  <c r="C15" i="67" s="1"/>
  <c r="E16" i="102" l="1"/>
  <c r="E17" i="102"/>
  <c r="J16" i="102"/>
  <c r="J17" i="102" s="1"/>
  <c r="E16" i="101"/>
  <c r="E17" i="101" s="1"/>
  <c r="J16" i="101"/>
  <c r="J17" i="101" s="1"/>
  <c r="D16" i="101"/>
  <c r="D17" i="101" s="1"/>
  <c r="D16" i="103"/>
  <c r="D17" i="103" s="1"/>
  <c r="F16" i="102"/>
  <c r="F17" i="102" s="1"/>
  <c r="I16" i="102"/>
  <c r="I17" i="102"/>
  <c r="F16" i="101"/>
  <c r="F17" i="101" s="1"/>
  <c r="B8" i="97"/>
  <c r="B15" i="97" s="1"/>
  <c r="C35" i="60"/>
  <c r="C36" i="60" s="1"/>
  <c r="C6" i="97" s="1"/>
  <c r="D29" i="60"/>
  <c r="G6" i="96"/>
  <c r="G13" i="96" s="1"/>
  <c r="G15" i="96" s="1"/>
  <c r="G16" i="96" s="1"/>
  <c r="G17" i="96" s="1"/>
  <c r="C25" i="96" s="1"/>
  <c r="C13" i="96"/>
  <c r="C15" i="96" s="1"/>
  <c r="C16" i="96" s="1"/>
  <c r="C17" i="96" s="1"/>
  <c r="C21" i="96" s="1"/>
  <c r="F12" i="93"/>
  <c r="E15" i="93"/>
  <c r="D12" i="96"/>
  <c r="D6" i="96" s="1"/>
  <c r="D13" i="96" s="1"/>
  <c r="D15" i="96" s="1"/>
  <c r="D16" i="96" s="1"/>
  <c r="D17" i="96" s="1"/>
  <c r="C22" i="96" s="1"/>
  <c r="E12" i="96"/>
  <c r="E6" i="96" s="1"/>
  <c r="E13" i="96" s="1"/>
  <c r="E15" i="96" s="1"/>
  <c r="E16" i="96" s="1"/>
  <c r="E17" i="96" s="1"/>
  <c r="C23" i="96" s="1"/>
  <c r="G12" i="96"/>
  <c r="F12" i="96"/>
  <c r="F6" i="96" s="1"/>
  <c r="F13" i="96" s="1"/>
  <c r="F15" i="96" s="1"/>
  <c r="D25" i="60"/>
  <c r="D6" i="58" s="1"/>
  <c r="D10" i="58" s="1"/>
  <c r="E18" i="60"/>
  <c r="E12" i="67"/>
  <c r="E15" i="67" s="1"/>
  <c r="D25" i="96" l="1"/>
  <c r="D23" i="96"/>
  <c r="D22" i="96"/>
  <c r="D34" i="60"/>
  <c r="D30" i="60"/>
  <c r="C10" i="97"/>
  <c r="C13" i="97" s="1"/>
  <c r="C8" i="97"/>
  <c r="F16" i="96"/>
  <c r="F17" i="96" s="1"/>
  <c r="C24" i="96" s="1"/>
  <c r="D24" i="96" s="1"/>
  <c r="G12" i="93"/>
  <c r="F15" i="93"/>
  <c r="F12" i="67"/>
  <c r="F15" i="67" s="1"/>
  <c r="E19" i="60"/>
  <c r="E23" i="60"/>
  <c r="B15" i="57"/>
  <c r="D35" i="60" l="1"/>
  <c r="D36" i="60" s="1"/>
  <c r="D6" i="97" s="1"/>
  <c r="E29" i="60"/>
  <c r="C15" i="97"/>
  <c r="G15" i="93"/>
  <c r="H12" i="93"/>
  <c r="H15" i="93" s="1"/>
  <c r="G12" i="67"/>
  <c r="G15" i="67" s="1"/>
  <c r="F18" i="60"/>
  <c r="E24" i="60"/>
  <c r="E25" i="60" s="1"/>
  <c r="E6" i="58" s="1"/>
  <c r="E10" i="58" s="1"/>
  <c r="D10" i="97" l="1"/>
  <c r="D13" i="97" s="1"/>
  <c r="D8" i="97"/>
  <c r="E34" i="60"/>
  <c r="E30" i="60"/>
  <c r="H12" i="67"/>
  <c r="H15" i="67" s="1"/>
  <c r="F19" i="60"/>
  <c r="F23" i="60"/>
  <c r="B13" i="58"/>
  <c r="C13" i="58"/>
  <c r="D15" i="97" l="1"/>
  <c r="E35" i="60"/>
  <c r="E36" i="60" s="1"/>
  <c r="E6" i="97" s="1"/>
  <c r="F29" i="60"/>
  <c r="G18" i="60"/>
  <c r="F24" i="60"/>
  <c r="F25" i="60" s="1"/>
  <c r="F6" i="58" s="1"/>
  <c r="F10" i="58" s="1"/>
  <c r="D13" i="58"/>
  <c r="E10" i="97" l="1"/>
  <c r="E13" i="97" s="1"/>
  <c r="E8" i="97"/>
  <c r="F30" i="60"/>
  <c r="F34" i="60"/>
  <c r="G19" i="60"/>
  <c r="G23" i="60"/>
  <c r="G25" i="60" s="1"/>
  <c r="G6" i="58" s="1"/>
  <c r="G10" i="58" s="1"/>
  <c r="E13" i="58"/>
  <c r="E15" i="97" l="1"/>
  <c r="F35" i="60"/>
  <c r="F36" i="60" s="1"/>
  <c r="F6" i="97" s="1"/>
  <c r="G29" i="60"/>
  <c r="G24" i="60"/>
  <c r="H18" i="60"/>
  <c r="F13" i="58"/>
  <c r="G34" i="60" l="1"/>
  <c r="G36" i="60" s="1"/>
  <c r="G6" i="97" s="1"/>
  <c r="G30" i="60"/>
  <c r="F10" i="97"/>
  <c r="F13" i="97" s="1"/>
  <c r="F8" i="97"/>
  <c r="H19" i="60"/>
  <c r="H23" i="60"/>
  <c r="H25" i="60" s="1"/>
  <c r="H6" i="58" s="1"/>
  <c r="H10" i="58" s="1"/>
  <c r="G13" i="58"/>
  <c r="F15" i="97" l="1"/>
  <c r="G35" i="60"/>
  <c r="H29" i="60"/>
  <c r="G10" i="97"/>
  <c r="G13" i="97" s="1"/>
  <c r="G8" i="97"/>
  <c r="I18" i="60"/>
  <c r="H24" i="60"/>
  <c r="H13" i="58"/>
  <c r="G15" i="97" l="1"/>
  <c r="H34" i="60"/>
  <c r="H36" i="60" s="1"/>
  <c r="H6" i="97" s="1"/>
  <c r="H30" i="60"/>
  <c r="I19" i="60"/>
  <c r="I23" i="60"/>
  <c r="I25" i="60" s="1"/>
  <c r="I6" i="58" s="1"/>
  <c r="I10" i="58" s="1"/>
  <c r="I13" i="58" s="1"/>
  <c r="H35" i="60" l="1"/>
  <c r="I29" i="60"/>
  <c r="H10" i="97"/>
  <c r="H13" i="97" s="1"/>
  <c r="H8" i="97"/>
  <c r="J18" i="60"/>
  <c r="I24" i="60"/>
  <c r="H15" i="97" l="1"/>
  <c r="I30" i="60"/>
  <c r="I34" i="60"/>
  <c r="I36" i="60" s="1"/>
  <c r="I6" i="97" s="1"/>
  <c r="J19" i="60"/>
  <c r="J24" i="60" s="1"/>
  <c r="J23" i="60"/>
  <c r="J25" i="60" s="1"/>
  <c r="J6" i="58" s="1"/>
  <c r="J10" i="58" s="1"/>
  <c r="J13" i="58" s="1"/>
  <c r="I10" i="97" l="1"/>
  <c r="I13" i="97" s="1"/>
  <c r="I8" i="97"/>
  <c r="I35" i="60"/>
  <c r="J29" i="60"/>
  <c r="Y19" i="94"/>
  <c r="Y20" i="94" s="1"/>
  <c r="Q19" i="94"/>
  <c r="Q20" i="94" s="1"/>
  <c r="I19" i="94"/>
  <c r="I20" i="94" s="1"/>
  <c r="O19" i="94"/>
  <c r="O20" i="94" s="1"/>
  <c r="X19" i="94"/>
  <c r="X20" i="94" s="1"/>
  <c r="P19" i="94"/>
  <c r="P20" i="94" s="1"/>
  <c r="V19" i="94"/>
  <c r="V20" i="94" s="1"/>
  <c r="N19" i="94"/>
  <c r="N20" i="94" s="1"/>
  <c r="U19" i="94"/>
  <c r="U20" i="94" s="1"/>
  <c r="M19" i="94"/>
  <c r="M20" i="94" s="1"/>
  <c r="T19" i="94"/>
  <c r="T20" i="94" s="1"/>
  <c r="L19" i="94"/>
  <c r="L20" i="94" s="1"/>
  <c r="S19" i="94"/>
  <c r="S20" i="94" s="1"/>
  <c r="K19" i="94"/>
  <c r="K20" i="94" s="1"/>
  <c r="Z19" i="94"/>
  <c r="Z20" i="94" s="1"/>
  <c r="R19" i="94"/>
  <c r="R20" i="94" s="1"/>
  <c r="J19" i="94"/>
  <c r="W19" i="94"/>
  <c r="W20" i="94" s="1"/>
  <c r="H24" i="77"/>
  <c r="O24" i="77"/>
  <c r="L24" i="77"/>
  <c r="U24" i="77"/>
  <c r="Q24" i="77"/>
  <c r="Z24" i="77"/>
  <c r="W24" i="77"/>
  <c r="T24" i="77"/>
  <c r="S24" i="77"/>
  <c r="M24" i="77"/>
  <c r="Y24" i="77"/>
  <c r="V24" i="77"/>
  <c r="R24" i="77"/>
  <c r="P24" i="77"/>
  <c r="X24" i="77"/>
  <c r="K24" i="77"/>
  <c r="N24" i="77"/>
  <c r="L21" i="66"/>
  <c r="L51" i="66" s="1"/>
  <c r="T21" i="66"/>
  <c r="T51" i="66" s="1"/>
  <c r="X21" i="66"/>
  <c r="X51" i="66" s="1"/>
  <c r="K19" i="39"/>
  <c r="O19" i="39"/>
  <c r="S19" i="39"/>
  <c r="S20" i="39" s="1"/>
  <c r="W19" i="39"/>
  <c r="W20" i="39" s="1"/>
  <c r="H19" i="39"/>
  <c r="B12" i="91" s="1"/>
  <c r="E8" i="57"/>
  <c r="J19" i="39"/>
  <c r="D12" i="56" s="1"/>
  <c r="D6" i="56" s="1"/>
  <c r="Z19" i="39"/>
  <c r="Z20" i="39" s="1"/>
  <c r="M21" i="66"/>
  <c r="M51" i="66" s="1"/>
  <c r="Q21" i="66"/>
  <c r="Q51" i="66" s="1"/>
  <c r="U21" i="66"/>
  <c r="U51" i="66" s="1"/>
  <c r="L19" i="39"/>
  <c r="P19" i="39"/>
  <c r="T19" i="39"/>
  <c r="T20" i="39" s="1"/>
  <c r="X19" i="39"/>
  <c r="X20" i="39" s="1"/>
  <c r="S21" i="66"/>
  <c r="S51" i="66" s="1"/>
  <c r="N19" i="39"/>
  <c r="V19" i="39"/>
  <c r="V20" i="39" s="1"/>
  <c r="N21" i="66"/>
  <c r="N51" i="66" s="1"/>
  <c r="R21" i="66"/>
  <c r="R51" i="66" s="1"/>
  <c r="V21" i="66"/>
  <c r="V51" i="66" s="1"/>
  <c r="I19" i="39"/>
  <c r="M19" i="39"/>
  <c r="Q19" i="39"/>
  <c r="U19" i="39"/>
  <c r="U20" i="39" s="1"/>
  <c r="Y19" i="39"/>
  <c r="Y20" i="39" s="1"/>
  <c r="O21" i="66"/>
  <c r="O51" i="66" s="1"/>
  <c r="H21" i="66"/>
  <c r="H51" i="66" s="1"/>
  <c r="R19" i="39"/>
  <c r="R20" i="39" s="1"/>
  <c r="W21" i="66"/>
  <c r="W51" i="66" s="1"/>
  <c r="Z21" i="66"/>
  <c r="Z51" i="66" s="1"/>
  <c r="P21" i="66"/>
  <c r="P51" i="66" s="1"/>
  <c r="K21" i="66"/>
  <c r="K51" i="66" s="1"/>
  <c r="I21" i="66"/>
  <c r="I51" i="66" s="1"/>
  <c r="Y21" i="66"/>
  <c r="Y51" i="66" s="1"/>
  <c r="J30" i="60" l="1"/>
  <c r="J35" i="60" s="1"/>
  <c r="J34" i="60"/>
  <c r="J36" i="60" s="1"/>
  <c r="J6" i="97" s="1"/>
  <c r="I15" i="97"/>
  <c r="B17" i="97"/>
  <c r="Z49" i="94"/>
  <c r="Z50" i="94" s="1"/>
  <c r="Z22" i="94"/>
  <c r="N49" i="94"/>
  <c r="N50" i="94" s="1"/>
  <c r="N22" i="94"/>
  <c r="K49" i="94"/>
  <c r="K50" i="94" s="1"/>
  <c r="K22" i="94"/>
  <c r="V49" i="94"/>
  <c r="V50" i="94" s="1"/>
  <c r="V22" i="94"/>
  <c r="S49" i="94"/>
  <c r="S50" i="94" s="1"/>
  <c r="S22" i="94"/>
  <c r="P49" i="94"/>
  <c r="P50" i="94" s="1"/>
  <c r="P22" i="94"/>
  <c r="L49" i="94"/>
  <c r="L50" i="94" s="1"/>
  <c r="L22" i="94"/>
  <c r="X49" i="94"/>
  <c r="X50" i="94" s="1"/>
  <c r="X22" i="94"/>
  <c r="T49" i="94"/>
  <c r="T50" i="94" s="1"/>
  <c r="T22" i="94"/>
  <c r="O49" i="94"/>
  <c r="O50" i="94" s="1"/>
  <c r="O22" i="94"/>
  <c r="W49" i="94"/>
  <c r="W50" i="94" s="1"/>
  <c r="W22" i="94"/>
  <c r="M49" i="94"/>
  <c r="M50" i="94" s="1"/>
  <c r="M22" i="94"/>
  <c r="I49" i="94"/>
  <c r="I50" i="94" s="1"/>
  <c r="I45" i="94"/>
  <c r="I22" i="94"/>
  <c r="J20" i="94"/>
  <c r="U49" i="94"/>
  <c r="U50" i="94" s="1"/>
  <c r="U22" i="94"/>
  <c r="Q49" i="94"/>
  <c r="Q50" i="94" s="1"/>
  <c r="Q22" i="94"/>
  <c r="R49" i="94"/>
  <c r="R50" i="94" s="1"/>
  <c r="R22" i="94"/>
  <c r="Y49" i="94"/>
  <c r="Y50" i="94" s="1"/>
  <c r="Y22" i="94"/>
  <c r="E12" i="56"/>
  <c r="E6" i="56" s="1"/>
  <c r="G12" i="81"/>
  <c r="C12" i="81"/>
  <c r="C6" i="81" s="1"/>
  <c r="D12" i="81"/>
  <c r="D6" i="81" s="1"/>
  <c r="D13" i="81" s="1"/>
  <c r="D15" i="81" s="1"/>
  <c r="D16" i="81" s="1"/>
  <c r="F12" i="81"/>
  <c r="F6" i="81" s="1"/>
  <c r="F13" i="81" s="1"/>
  <c r="F15" i="81" s="1"/>
  <c r="F16" i="81" s="1"/>
  <c r="F17" i="81" s="1"/>
  <c r="C24" i="81" s="1"/>
  <c r="E12" i="81"/>
  <c r="E6" i="81" s="1"/>
  <c r="E13" i="81" s="1"/>
  <c r="E15" i="81" s="1"/>
  <c r="E16" i="81" s="1"/>
  <c r="E17" i="81" s="1"/>
  <c r="C23" i="81" s="1"/>
  <c r="V49" i="39"/>
  <c r="V50" i="39" s="1"/>
  <c r="O20" i="39"/>
  <c r="O49" i="39" s="1"/>
  <c r="O50" i="39" s="1"/>
  <c r="I12" i="56"/>
  <c r="I6" i="56" s="1"/>
  <c r="P53" i="77"/>
  <c r="P55" i="77" s="1"/>
  <c r="P26" i="77"/>
  <c r="P27" i="77" s="1"/>
  <c r="L53" i="77"/>
  <c r="L55" i="77" s="1"/>
  <c r="L26" i="77"/>
  <c r="L27" i="77" s="1"/>
  <c r="R49" i="39"/>
  <c r="R50" i="39" s="1"/>
  <c r="N20" i="39"/>
  <c r="N22" i="39" s="1"/>
  <c r="H12" i="56"/>
  <c r="H6" i="56" s="1"/>
  <c r="P20" i="39"/>
  <c r="P22" i="39" s="1"/>
  <c r="J12" i="56"/>
  <c r="J6" i="56" s="1"/>
  <c r="H20" i="39"/>
  <c r="H49" i="39" s="1"/>
  <c r="B12" i="56"/>
  <c r="B6" i="56" s="1"/>
  <c r="N53" i="77"/>
  <c r="N55" i="77" s="1"/>
  <c r="N26" i="77"/>
  <c r="N27" i="77" s="1"/>
  <c r="R53" i="77"/>
  <c r="R55" i="77" s="1"/>
  <c r="R26" i="77"/>
  <c r="R27" i="77" s="1"/>
  <c r="S53" i="77"/>
  <c r="S55" i="77" s="1"/>
  <c r="S26" i="77"/>
  <c r="S27" i="77" s="1"/>
  <c r="Q53" i="77"/>
  <c r="Q55" i="77" s="1"/>
  <c r="Q26" i="77"/>
  <c r="Q27" i="77" s="1"/>
  <c r="O53" i="77"/>
  <c r="O55" i="77" s="1"/>
  <c r="O26" i="77"/>
  <c r="O27" i="77" s="1"/>
  <c r="Y49" i="39"/>
  <c r="Y50" i="39" s="1"/>
  <c r="T49" i="39"/>
  <c r="T50" i="39" s="1"/>
  <c r="Z53" i="77"/>
  <c r="Z55" i="77" s="1"/>
  <c r="Z26" i="77"/>
  <c r="Z27" i="77" s="1"/>
  <c r="H23" i="66"/>
  <c r="H26" i="66" s="1"/>
  <c r="H31" i="66" s="1"/>
  <c r="H52" i="66"/>
  <c r="H53" i="66" s="1"/>
  <c r="Q20" i="39"/>
  <c r="Q22" i="39" s="1"/>
  <c r="K12" i="56"/>
  <c r="K6" i="56" s="1"/>
  <c r="L20" i="39"/>
  <c r="I9" i="9" s="1"/>
  <c r="F12" i="56"/>
  <c r="F6" i="56" s="1"/>
  <c r="Z49" i="39"/>
  <c r="Z50" i="39" s="1"/>
  <c r="W49" i="39"/>
  <c r="W50" i="39" s="1"/>
  <c r="K53" i="77"/>
  <c r="K55" i="77" s="1"/>
  <c r="K26" i="77"/>
  <c r="K27" i="77" s="1"/>
  <c r="V53" i="77"/>
  <c r="V55" i="77" s="1"/>
  <c r="V26" i="77"/>
  <c r="T53" i="77"/>
  <c r="T55" i="77" s="1"/>
  <c r="T26" i="77"/>
  <c r="T27" i="77" s="1"/>
  <c r="I53" i="77"/>
  <c r="I55" i="77" s="1"/>
  <c r="I26" i="77"/>
  <c r="I27" i="77" s="1"/>
  <c r="J24" i="77"/>
  <c r="B18" i="99" s="1"/>
  <c r="I20" i="39"/>
  <c r="C12" i="56"/>
  <c r="C6" i="56" s="1"/>
  <c r="M53" i="77"/>
  <c r="M55" i="77" s="1"/>
  <c r="M26" i="77"/>
  <c r="M27" i="77" s="1"/>
  <c r="U49" i="39"/>
  <c r="U50" i="39" s="1"/>
  <c r="M20" i="39"/>
  <c r="M22" i="39" s="1"/>
  <c r="G12" i="56"/>
  <c r="G6" i="56" s="1"/>
  <c r="X49" i="39"/>
  <c r="X50" i="39" s="1"/>
  <c r="S49" i="39"/>
  <c r="S50" i="39" s="1"/>
  <c r="X53" i="77"/>
  <c r="X55" i="77" s="1"/>
  <c r="X26" i="77"/>
  <c r="X27" i="77" s="1"/>
  <c r="Y53" i="77"/>
  <c r="Y55" i="77" s="1"/>
  <c r="Y26" i="77"/>
  <c r="Y27" i="77" s="1"/>
  <c r="W53" i="77"/>
  <c r="W55" i="77" s="1"/>
  <c r="W26" i="77"/>
  <c r="W27" i="77" s="1"/>
  <c r="U53" i="77"/>
  <c r="U55" i="77" s="1"/>
  <c r="U26" i="77"/>
  <c r="U27" i="77" s="1"/>
  <c r="H53" i="77"/>
  <c r="H55" i="77" s="1"/>
  <c r="H57" i="77" s="1"/>
  <c r="H26" i="77"/>
  <c r="C8" i="74"/>
  <c r="E9" i="57"/>
  <c r="E10" i="57" s="1"/>
  <c r="E16" i="57" s="1"/>
  <c r="K20" i="39"/>
  <c r="B8" i="57"/>
  <c r="C8" i="67" s="1"/>
  <c r="I23" i="66"/>
  <c r="I52" i="66"/>
  <c r="Z23" i="66"/>
  <c r="Z52" i="66"/>
  <c r="O23" i="66"/>
  <c r="O25" i="66" s="1"/>
  <c r="O52" i="66"/>
  <c r="R23" i="66"/>
  <c r="R25" i="66" s="1"/>
  <c r="R52" i="66"/>
  <c r="Q23" i="66"/>
  <c r="Q25" i="66" s="1"/>
  <c r="Q52" i="66"/>
  <c r="X23" i="66"/>
  <c r="X25" i="66" s="1"/>
  <c r="X52" i="66"/>
  <c r="K23" i="66"/>
  <c r="K25" i="66" s="1"/>
  <c r="K52" i="66"/>
  <c r="N23" i="66"/>
  <c r="N26" i="66" s="1"/>
  <c r="N30" i="66" s="1"/>
  <c r="N52" i="66"/>
  <c r="M23" i="66"/>
  <c r="M25" i="66" s="1"/>
  <c r="M52" i="66"/>
  <c r="T23" i="66"/>
  <c r="T25" i="66" s="1"/>
  <c r="T52" i="66"/>
  <c r="V23" i="66"/>
  <c r="V25" i="66" s="1"/>
  <c r="V52" i="66"/>
  <c r="W23" i="66"/>
  <c r="W25" i="66" s="1"/>
  <c r="W52" i="66"/>
  <c r="S23" i="66"/>
  <c r="S52" i="66"/>
  <c r="P23" i="66"/>
  <c r="P25" i="66" s="1"/>
  <c r="P52" i="66"/>
  <c r="Y23" i="66"/>
  <c r="Y25" i="66" s="1"/>
  <c r="Y52" i="66"/>
  <c r="U23" i="66"/>
  <c r="U25" i="66" s="1"/>
  <c r="U52" i="66"/>
  <c r="L23" i="66"/>
  <c r="L25" i="66" s="1"/>
  <c r="L52" i="66"/>
  <c r="V22" i="39"/>
  <c r="S9" i="9"/>
  <c r="T22" i="39"/>
  <c r="Q9" i="9"/>
  <c r="X22" i="39"/>
  <c r="U9" i="9"/>
  <c r="R9" i="9"/>
  <c r="U22" i="39"/>
  <c r="T9" i="9"/>
  <c r="W22" i="39"/>
  <c r="R22" i="39"/>
  <c r="O9" i="9"/>
  <c r="W9" i="9"/>
  <c r="Z22" i="39"/>
  <c r="E9" i="9"/>
  <c r="Y22" i="39"/>
  <c r="V9" i="9"/>
  <c r="J21" i="66"/>
  <c r="J20" i="39"/>
  <c r="J49" i="39" s="1"/>
  <c r="S22" i="39"/>
  <c r="P9" i="9"/>
  <c r="E4" i="99" l="1"/>
  <c r="G23" i="77"/>
  <c r="J25" i="77"/>
  <c r="B11" i="99" s="1"/>
  <c r="V27" i="77"/>
  <c r="V30" i="77" s="1"/>
  <c r="J10" i="97"/>
  <c r="J13" i="97" s="1"/>
  <c r="J8" i="97"/>
  <c r="H22" i="39"/>
  <c r="H24" i="39" s="1"/>
  <c r="M24" i="94"/>
  <c r="M25" i="94"/>
  <c r="M23" i="94"/>
  <c r="X23" i="94"/>
  <c r="X25" i="94"/>
  <c r="X24" i="94"/>
  <c r="V23" i="94"/>
  <c r="V24" i="94"/>
  <c r="V25" i="94"/>
  <c r="U25" i="94"/>
  <c r="U23" i="94"/>
  <c r="U24" i="94"/>
  <c r="W23" i="94"/>
  <c r="W24" i="94"/>
  <c r="W25" i="94"/>
  <c r="L24" i="94"/>
  <c r="L25" i="94"/>
  <c r="L23" i="94"/>
  <c r="K23" i="94"/>
  <c r="K24" i="94"/>
  <c r="K25" i="94"/>
  <c r="Y25" i="94"/>
  <c r="Y23" i="94"/>
  <c r="Y24" i="94"/>
  <c r="J49" i="94"/>
  <c r="J50" i="94" s="1"/>
  <c r="G15" i="94"/>
  <c r="G17" i="94"/>
  <c r="J22" i="94"/>
  <c r="G14" i="94"/>
  <c r="G16" i="94"/>
  <c r="G18" i="94"/>
  <c r="G19" i="94"/>
  <c r="O25" i="94"/>
  <c r="O24" i="94"/>
  <c r="O23" i="94"/>
  <c r="P23" i="94"/>
  <c r="P24" i="94"/>
  <c r="P25" i="94"/>
  <c r="N24" i="94"/>
  <c r="N25" i="94"/>
  <c r="N23" i="94"/>
  <c r="R25" i="94"/>
  <c r="R24" i="94"/>
  <c r="R23" i="94"/>
  <c r="I25" i="94"/>
  <c r="I23" i="94"/>
  <c r="I24" i="94"/>
  <c r="T25" i="94"/>
  <c r="T24" i="94"/>
  <c r="T23" i="94"/>
  <c r="S25" i="94"/>
  <c r="S24" i="94"/>
  <c r="S23" i="94"/>
  <c r="Z25" i="94"/>
  <c r="Z23" i="94"/>
  <c r="Z24" i="94"/>
  <c r="I22" i="39"/>
  <c r="I24" i="39" s="1"/>
  <c r="I49" i="39"/>
  <c r="Q25" i="94"/>
  <c r="Q23" i="94"/>
  <c r="Q24" i="94"/>
  <c r="N9" i="9"/>
  <c r="N14" i="9" s="1"/>
  <c r="N15" i="9" s="1"/>
  <c r="J9" i="9"/>
  <c r="J14" i="9" s="1"/>
  <c r="J15" i="9" s="1"/>
  <c r="M9" i="9"/>
  <c r="M14" i="9" s="1"/>
  <c r="M15" i="9" s="1"/>
  <c r="L22" i="39"/>
  <c r="L25" i="39" s="1"/>
  <c r="L28" i="39" s="1"/>
  <c r="K9" i="9"/>
  <c r="K14" i="9" s="1"/>
  <c r="K15" i="9" s="1"/>
  <c r="F9" i="9"/>
  <c r="F14" i="9" s="1"/>
  <c r="F15" i="9" s="1"/>
  <c r="L9" i="9"/>
  <c r="L10" i="9" s="1"/>
  <c r="C13" i="81"/>
  <c r="C15" i="81" s="1"/>
  <c r="C16" i="81" s="1"/>
  <c r="C17" i="81" s="1"/>
  <c r="C21" i="81" s="1"/>
  <c r="D22" i="81" s="1"/>
  <c r="G6" i="81"/>
  <c r="G13" i="81" s="1"/>
  <c r="G15" i="81" s="1"/>
  <c r="G16" i="81" s="1"/>
  <c r="G17" i="81" s="1"/>
  <c r="C25" i="81" s="1"/>
  <c r="H25" i="66"/>
  <c r="O22" i="39"/>
  <c r="O25" i="39" s="1"/>
  <c r="H24" i="66"/>
  <c r="H27" i="77"/>
  <c r="H32" i="77" s="1"/>
  <c r="H28" i="77"/>
  <c r="J51" i="66"/>
  <c r="J52" i="66" s="1"/>
  <c r="K49" i="39"/>
  <c r="K50" i="39" s="1"/>
  <c r="Y30" i="77"/>
  <c r="Y31" i="77"/>
  <c r="M30" i="77"/>
  <c r="M31" i="77"/>
  <c r="T31" i="77"/>
  <c r="T30" i="77"/>
  <c r="R30" i="77"/>
  <c r="R31" i="77"/>
  <c r="M49" i="39"/>
  <c r="M50" i="39" s="1"/>
  <c r="Q49" i="39"/>
  <c r="Q50" i="39" s="1"/>
  <c r="H45" i="39"/>
  <c r="H50" i="39"/>
  <c r="N49" i="39"/>
  <c r="N50" i="39" s="1"/>
  <c r="U30" i="77"/>
  <c r="U31" i="77"/>
  <c r="J53" i="77"/>
  <c r="J55" i="77" s="1"/>
  <c r="J26" i="77"/>
  <c r="J27" i="77" s="1"/>
  <c r="G19" i="77"/>
  <c r="G18" i="77"/>
  <c r="G21" i="77"/>
  <c r="G20" i="77"/>
  <c r="G22" i="77"/>
  <c r="Z31" i="77"/>
  <c r="Z30" i="77"/>
  <c r="Q30" i="77"/>
  <c r="Q31" i="77"/>
  <c r="L30" i="77"/>
  <c r="L31" i="77"/>
  <c r="W30" i="77"/>
  <c r="W31" i="77"/>
  <c r="X30" i="77"/>
  <c r="X31" i="77"/>
  <c r="I30" i="77"/>
  <c r="I31" i="77"/>
  <c r="O31" i="77"/>
  <c r="O30" i="77"/>
  <c r="S30" i="77"/>
  <c r="S31" i="77"/>
  <c r="N30" i="77"/>
  <c r="N31" i="77"/>
  <c r="P30" i="77"/>
  <c r="P31" i="77"/>
  <c r="K30" i="77"/>
  <c r="K31" i="77"/>
  <c r="I50" i="39"/>
  <c r="I45" i="39"/>
  <c r="L49" i="39"/>
  <c r="L50" i="39" s="1"/>
  <c r="P49" i="39"/>
  <c r="P50" i="39" s="1"/>
  <c r="H9" i="9"/>
  <c r="H14" i="9" s="1"/>
  <c r="H15" i="9" s="1"/>
  <c r="K22" i="39"/>
  <c r="K23" i="39" s="1"/>
  <c r="B9" i="57"/>
  <c r="Z24" i="66"/>
  <c r="Z25" i="66"/>
  <c r="S24" i="66"/>
  <c r="S25" i="66"/>
  <c r="I24" i="66"/>
  <c r="I25" i="66"/>
  <c r="N24" i="66"/>
  <c r="N25" i="66"/>
  <c r="E8" i="74"/>
  <c r="C9" i="74"/>
  <c r="C10" i="74" s="1"/>
  <c r="C16" i="74" s="1"/>
  <c r="C20" i="74" s="1"/>
  <c r="B13" i="56"/>
  <c r="B15" i="56" s="1"/>
  <c r="L26" i="66"/>
  <c r="L29" i="66" s="1"/>
  <c r="L24" i="66"/>
  <c r="Y26" i="66"/>
  <c r="Y29" i="66" s="1"/>
  <c r="Y24" i="66"/>
  <c r="V26" i="66"/>
  <c r="V29" i="66" s="1"/>
  <c r="V24" i="66"/>
  <c r="M24" i="66"/>
  <c r="K26" i="66"/>
  <c r="K29" i="66" s="1"/>
  <c r="K24" i="66"/>
  <c r="X26" i="66"/>
  <c r="X30" i="66" s="1"/>
  <c r="X24" i="66"/>
  <c r="R26" i="66"/>
  <c r="R30" i="66" s="1"/>
  <c r="R24" i="66"/>
  <c r="U26" i="66"/>
  <c r="U30" i="66" s="1"/>
  <c r="U24" i="66"/>
  <c r="P24" i="66"/>
  <c r="W24" i="66"/>
  <c r="T24" i="66"/>
  <c r="Q24" i="66"/>
  <c r="O24" i="66"/>
  <c r="H30" i="66"/>
  <c r="Q26" i="66"/>
  <c r="Q29" i="66" s="1"/>
  <c r="O26" i="66"/>
  <c r="O29" i="66" s="1"/>
  <c r="P26" i="66"/>
  <c r="P29" i="66" s="1"/>
  <c r="W26" i="66"/>
  <c r="W30" i="66" s="1"/>
  <c r="I26" i="66"/>
  <c r="I29" i="66" s="1"/>
  <c r="T26" i="66"/>
  <c r="T30" i="66" s="1"/>
  <c r="Z26" i="66"/>
  <c r="Z30" i="66" s="1"/>
  <c r="S26" i="66"/>
  <c r="S30" i="66" s="1"/>
  <c r="M26" i="66"/>
  <c r="M30" i="66" s="1"/>
  <c r="N29" i="66"/>
  <c r="J50" i="39"/>
  <c r="G14" i="39"/>
  <c r="Y25" i="39"/>
  <c r="Y28" i="39" s="1"/>
  <c r="Y24" i="39"/>
  <c r="Y23" i="39"/>
  <c r="W25" i="39"/>
  <c r="W28" i="39" s="1"/>
  <c r="W23" i="39"/>
  <c r="W24" i="39"/>
  <c r="U25" i="39"/>
  <c r="U29" i="39" s="1"/>
  <c r="U24" i="39"/>
  <c r="U23" i="39"/>
  <c r="V25" i="39"/>
  <c r="V28" i="39" s="1"/>
  <c r="V24" i="39"/>
  <c r="V23" i="39"/>
  <c r="S25" i="39"/>
  <c r="S28" i="39" s="1"/>
  <c r="S23" i="39"/>
  <c r="S24" i="39"/>
  <c r="Q25" i="39"/>
  <c r="Q28" i="39" s="1"/>
  <c r="Q24" i="39"/>
  <c r="Q23" i="39"/>
  <c r="Z25" i="39"/>
  <c r="Z29" i="39" s="1"/>
  <c r="Z24" i="39"/>
  <c r="Z23" i="39"/>
  <c r="T25" i="39"/>
  <c r="T28" i="39" s="1"/>
  <c r="T23" i="39"/>
  <c r="T24" i="39"/>
  <c r="P25" i="39"/>
  <c r="P29" i="39" s="1"/>
  <c r="P23" i="39"/>
  <c r="P24" i="39"/>
  <c r="M25" i="39"/>
  <c r="M28" i="39" s="1"/>
  <c r="M24" i="39"/>
  <c r="M23" i="39"/>
  <c r="R25" i="39"/>
  <c r="R28" i="39" s="1"/>
  <c r="R24" i="39"/>
  <c r="R23" i="39"/>
  <c r="N25" i="39"/>
  <c r="N29" i="39" s="1"/>
  <c r="N24" i="39"/>
  <c r="N23" i="39"/>
  <c r="X25" i="39"/>
  <c r="X29" i="39" s="1"/>
  <c r="X23" i="39"/>
  <c r="X24" i="39"/>
  <c r="G15" i="66"/>
  <c r="J23" i="66"/>
  <c r="G18" i="66"/>
  <c r="G16" i="66"/>
  <c r="G19" i="66"/>
  <c r="G17" i="66"/>
  <c r="I10" i="9"/>
  <c r="I14" i="9"/>
  <c r="I15" i="9" s="1"/>
  <c r="R10" i="9"/>
  <c r="R14" i="9"/>
  <c r="R15" i="9" s="1"/>
  <c r="G20" i="66"/>
  <c r="V10" i="9"/>
  <c r="V14" i="9"/>
  <c r="V15" i="9" s="1"/>
  <c r="T10" i="9"/>
  <c r="T14" i="9"/>
  <c r="T15" i="9" s="1"/>
  <c r="U14" i="9"/>
  <c r="U15" i="9" s="1"/>
  <c r="U10" i="9"/>
  <c r="S10" i="9"/>
  <c r="S14" i="9"/>
  <c r="S15" i="9" s="1"/>
  <c r="J22" i="39"/>
  <c r="G9" i="9"/>
  <c r="G16" i="39"/>
  <c r="G15" i="39"/>
  <c r="G18" i="39"/>
  <c r="G17" i="39"/>
  <c r="E14" i="9"/>
  <c r="E15" i="9" s="1"/>
  <c r="E10" i="9"/>
  <c r="W14" i="9"/>
  <c r="W15" i="9" s="1"/>
  <c r="W10" i="9"/>
  <c r="P10" i="9"/>
  <c r="P14" i="9"/>
  <c r="P15" i="9" s="1"/>
  <c r="E8" i="67"/>
  <c r="C9" i="67"/>
  <c r="N10" i="9"/>
  <c r="G19" i="39"/>
  <c r="O10" i="9"/>
  <c r="O14" i="9"/>
  <c r="O15" i="9" s="1"/>
  <c r="Q14" i="9"/>
  <c r="Q15" i="9" s="1"/>
  <c r="Q10" i="9"/>
  <c r="V31" i="77" l="1"/>
  <c r="D25" i="81"/>
  <c r="I23" i="39"/>
  <c r="I25" i="39"/>
  <c r="I29" i="39" s="1"/>
  <c r="D24" i="81"/>
  <c r="D23" i="81"/>
  <c r="H25" i="39"/>
  <c r="E5" i="99"/>
  <c r="H23" i="39"/>
  <c r="J15" i="97"/>
  <c r="G36" i="77"/>
  <c r="H30" i="77"/>
  <c r="Z28" i="94"/>
  <c r="Z29" i="94"/>
  <c r="P29" i="94"/>
  <c r="P28" i="94"/>
  <c r="Y28" i="94"/>
  <c r="Y29" i="94"/>
  <c r="I28" i="94"/>
  <c r="I29" i="94"/>
  <c r="K28" i="94"/>
  <c r="K29" i="94"/>
  <c r="X28" i="94"/>
  <c r="X29" i="94"/>
  <c r="J25" i="94"/>
  <c r="J23" i="94"/>
  <c r="J24" i="94"/>
  <c r="Q28" i="94"/>
  <c r="Q29" i="94"/>
  <c r="S28" i="94"/>
  <c r="S29" i="94"/>
  <c r="R29" i="94"/>
  <c r="R28" i="94"/>
  <c r="U28" i="94"/>
  <c r="U29" i="94"/>
  <c r="M28" i="94"/>
  <c r="M29" i="94"/>
  <c r="O28" i="94"/>
  <c r="O29" i="94"/>
  <c r="L28" i="94"/>
  <c r="L29" i="94"/>
  <c r="V28" i="94"/>
  <c r="V29" i="94"/>
  <c r="T28" i="94"/>
  <c r="T29" i="94"/>
  <c r="N28" i="94"/>
  <c r="N29" i="94"/>
  <c r="W29" i="94"/>
  <c r="W28" i="94"/>
  <c r="M10" i="9"/>
  <c r="F10" i="9"/>
  <c r="L24" i="39"/>
  <c r="J10" i="9"/>
  <c r="K10" i="9"/>
  <c r="L23" i="39"/>
  <c r="H10" i="9"/>
  <c r="L14" i="9"/>
  <c r="L15" i="9" s="1"/>
  <c r="O23" i="39"/>
  <c r="O24" i="39"/>
  <c r="H31" i="77"/>
  <c r="K25" i="39"/>
  <c r="K29" i="39" s="1"/>
  <c r="H41" i="77"/>
  <c r="H43" i="77" s="1"/>
  <c r="H40" i="77"/>
  <c r="H42" i="77" s="1"/>
  <c r="I32" i="77"/>
  <c r="K24" i="39"/>
  <c r="J30" i="77"/>
  <c r="G35" i="77" s="1"/>
  <c r="J31" i="77"/>
  <c r="H30" i="39"/>
  <c r="H28" i="39"/>
  <c r="J24" i="66"/>
  <c r="J25" i="66"/>
  <c r="B16" i="56"/>
  <c r="B17" i="56" s="1"/>
  <c r="B5" i="58" s="1"/>
  <c r="F8" i="74"/>
  <c r="E9" i="74"/>
  <c r="E10" i="74" s="1"/>
  <c r="E16" i="74" s="1"/>
  <c r="C22" i="74" s="1"/>
  <c r="K30" i="66"/>
  <c r="R29" i="66"/>
  <c r="V30" i="66"/>
  <c r="L30" i="66"/>
  <c r="I31" i="66"/>
  <c r="X29" i="66"/>
  <c r="U29" i="66"/>
  <c r="Y30" i="66"/>
  <c r="H29" i="66"/>
  <c r="O30" i="66"/>
  <c r="Q30" i="66"/>
  <c r="I30" i="66"/>
  <c r="Z29" i="66"/>
  <c r="P30" i="66"/>
  <c r="T29" i="66"/>
  <c r="W29" i="66"/>
  <c r="I28" i="39"/>
  <c r="M29" i="66"/>
  <c r="S29" i="66"/>
  <c r="W29" i="39"/>
  <c r="N28" i="39"/>
  <c r="Q29" i="39"/>
  <c r="V29" i="39"/>
  <c r="O28" i="39"/>
  <c r="O29" i="39"/>
  <c r="U28" i="39"/>
  <c r="M29" i="39"/>
  <c r="P28" i="39"/>
  <c r="R29" i="39"/>
  <c r="X28" i="39"/>
  <c r="Z28" i="39"/>
  <c r="L29" i="39"/>
  <c r="S29" i="39"/>
  <c r="Y29" i="39"/>
  <c r="T29" i="39"/>
  <c r="J25" i="39"/>
  <c r="J28" i="39" s="1"/>
  <c r="J24" i="39"/>
  <c r="J23" i="39"/>
  <c r="J26" i="66"/>
  <c r="H29" i="39"/>
  <c r="I13" i="56"/>
  <c r="J13" i="56"/>
  <c r="G10" i="9"/>
  <c r="G14" i="9"/>
  <c r="G15" i="9" s="1"/>
  <c r="F8" i="67"/>
  <c r="E9" i="67"/>
  <c r="I30" i="39" l="1"/>
  <c r="E6" i="99"/>
  <c r="G34" i="39"/>
  <c r="G12" i="99" s="1"/>
  <c r="J28" i="94"/>
  <c r="J29" i="94"/>
  <c r="K28" i="39"/>
  <c r="G33" i="39" s="1"/>
  <c r="G9" i="99" s="1"/>
  <c r="I40" i="77"/>
  <c r="I42" i="77" s="1"/>
  <c r="I41" i="77"/>
  <c r="I43" i="77" s="1"/>
  <c r="J32" i="77"/>
  <c r="J15" i="56"/>
  <c r="I15" i="56"/>
  <c r="G8" i="74"/>
  <c r="F9" i="74"/>
  <c r="F10" i="74" s="1"/>
  <c r="F16" i="74" s="1"/>
  <c r="C23" i="74" s="1"/>
  <c r="J31" i="66"/>
  <c r="K31" i="66" s="1"/>
  <c r="L31" i="66" s="1"/>
  <c r="M31" i="66" s="1"/>
  <c r="N31" i="66" s="1"/>
  <c r="O31" i="66" s="1"/>
  <c r="P31" i="66" s="1"/>
  <c r="Q31" i="66" s="1"/>
  <c r="R31" i="66" s="1"/>
  <c r="S31" i="66" s="1"/>
  <c r="T31" i="66" s="1"/>
  <c r="U31" i="66" s="1"/>
  <c r="V31" i="66" s="1"/>
  <c r="W31" i="66" s="1"/>
  <c r="X31" i="66" s="1"/>
  <c r="Y31" i="66" s="1"/>
  <c r="Z31" i="66" s="1"/>
  <c r="H39" i="66"/>
  <c r="H41" i="66" s="1"/>
  <c r="H40" i="66"/>
  <c r="H42" i="66" s="1"/>
  <c r="G35" i="66"/>
  <c r="J30" i="39"/>
  <c r="H39" i="39"/>
  <c r="H41" i="39" s="1"/>
  <c r="J30" i="66"/>
  <c r="J29" i="66"/>
  <c r="G34" i="66" s="1"/>
  <c r="H38" i="39"/>
  <c r="H40" i="39" s="1"/>
  <c r="J29" i="39"/>
  <c r="B8" i="58"/>
  <c r="K13" i="56"/>
  <c r="G13" i="56"/>
  <c r="C13" i="56"/>
  <c r="G8" i="67"/>
  <c r="F9" i="67"/>
  <c r="H13" i="56"/>
  <c r="F13" i="56"/>
  <c r="I9" i="99" l="1"/>
  <c r="J41" i="77"/>
  <c r="J43" i="77" s="1"/>
  <c r="K32" i="77"/>
  <c r="J40" i="77"/>
  <c r="J42" i="77" s="1"/>
  <c r="J16" i="56"/>
  <c r="J17" i="56" s="1"/>
  <c r="J5" i="58" s="1"/>
  <c r="J8" i="58" s="1"/>
  <c r="J15" i="58" s="1"/>
  <c r="I16" i="56"/>
  <c r="I17" i="56" s="1"/>
  <c r="I5" i="58" s="1"/>
  <c r="I8" i="58" s="1"/>
  <c r="I15" i="58" s="1"/>
  <c r="K15" i="56"/>
  <c r="C15" i="56"/>
  <c r="F15" i="56"/>
  <c r="G15" i="56"/>
  <c r="H15" i="56"/>
  <c r="H8" i="74"/>
  <c r="H9" i="74" s="1"/>
  <c r="H10" i="74" s="1"/>
  <c r="H16" i="74" s="1"/>
  <c r="C25" i="74" s="1"/>
  <c r="G9" i="74"/>
  <c r="G10" i="74" s="1"/>
  <c r="G16" i="74" s="1"/>
  <c r="C24" i="74" s="1"/>
  <c r="B15" i="58"/>
  <c r="I40" i="66"/>
  <c r="I42" i="66" s="1"/>
  <c r="I39" i="66"/>
  <c r="I41" i="66" s="1"/>
  <c r="J39" i="66"/>
  <c r="J41" i="66" s="1"/>
  <c r="J40" i="66"/>
  <c r="J42" i="66" s="1"/>
  <c r="K39" i="66"/>
  <c r="K41" i="66" s="1"/>
  <c r="K40" i="66"/>
  <c r="K42" i="66" s="1"/>
  <c r="J38" i="39"/>
  <c r="J40" i="39" s="1"/>
  <c r="J39" i="39"/>
  <c r="J41" i="39" s="1"/>
  <c r="I38" i="39"/>
  <c r="I40" i="39" s="1"/>
  <c r="I39" i="39"/>
  <c r="I41" i="39" s="1"/>
  <c r="D13" i="56"/>
  <c r="K30" i="39"/>
  <c r="H8" i="67"/>
  <c r="H9" i="67" s="1"/>
  <c r="G9" i="67"/>
  <c r="E13" i="56"/>
  <c r="B10" i="57"/>
  <c r="B16" i="57" s="1"/>
  <c r="K41" i="77" l="1"/>
  <c r="K43" i="77" s="1"/>
  <c r="L32" i="77"/>
  <c r="K40" i="77"/>
  <c r="K42" i="77" s="1"/>
  <c r="G16" i="56"/>
  <c r="G17" i="56" s="1"/>
  <c r="C16" i="56"/>
  <c r="C17" i="56" s="1"/>
  <c r="C5" i="58" s="1"/>
  <c r="C8" i="58" s="1"/>
  <c r="F16" i="56"/>
  <c r="F17" i="56" s="1"/>
  <c r="F5" i="58" s="1"/>
  <c r="F8" i="58" s="1"/>
  <c r="F15" i="58" s="1"/>
  <c r="H16" i="56"/>
  <c r="H17" i="56" s="1"/>
  <c r="H5" i="58" s="1"/>
  <c r="H8" i="58" s="1"/>
  <c r="H15" i="58" s="1"/>
  <c r="K16" i="56"/>
  <c r="K17" i="56" s="1"/>
  <c r="E15" i="56"/>
  <c r="D15" i="56"/>
  <c r="L40" i="66"/>
  <c r="L42" i="66" s="1"/>
  <c r="L39" i="66"/>
  <c r="L41" i="66" s="1"/>
  <c r="K38" i="39"/>
  <c r="K40" i="39" s="1"/>
  <c r="K39" i="39"/>
  <c r="K41" i="39" s="1"/>
  <c r="L30" i="39"/>
  <c r="G3" i="67"/>
  <c r="G10" i="67" s="1"/>
  <c r="G16" i="67" s="1"/>
  <c r="C24" i="67" s="1"/>
  <c r="F3" i="67"/>
  <c r="F10" i="67" s="1"/>
  <c r="F16" i="67" s="1"/>
  <c r="C23" i="67" s="1"/>
  <c r="H3" i="67"/>
  <c r="H10" i="67" s="1"/>
  <c r="H16" i="67" s="1"/>
  <c r="C25" i="67" s="1"/>
  <c r="E3" i="67"/>
  <c r="E10" i="67" s="1"/>
  <c r="E16" i="67" s="1"/>
  <c r="C22" i="67" s="1"/>
  <c r="C10" i="67"/>
  <c r="C16" i="67" s="1"/>
  <c r="C20" i="67" s="1"/>
  <c r="C15" i="58" l="1"/>
  <c r="M32" i="77"/>
  <c r="L41" i="77"/>
  <c r="L43" i="77" s="1"/>
  <c r="L40" i="77"/>
  <c r="L42" i="77" s="1"/>
  <c r="D16" i="56"/>
  <c r="D17" i="56" s="1"/>
  <c r="E16" i="56"/>
  <c r="E17" i="56" s="1"/>
  <c r="E5" i="58" s="1"/>
  <c r="E8" i="58" s="1"/>
  <c r="E15" i="58" s="1"/>
  <c r="G5" i="58"/>
  <c r="G8" i="58" s="1"/>
  <c r="G15" i="58" s="1"/>
  <c r="M39" i="66"/>
  <c r="M41" i="66" s="1"/>
  <c r="M40" i="66"/>
  <c r="M42" i="66" s="1"/>
  <c r="L38" i="39"/>
  <c r="L40" i="39" s="1"/>
  <c r="L39" i="39"/>
  <c r="L41" i="39" s="1"/>
  <c r="M30" i="39"/>
  <c r="M40" i="77" l="1"/>
  <c r="M42" i="77" s="1"/>
  <c r="M41" i="77"/>
  <c r="M43" i="77" s="1"/>
  <c r="N32" i="77"/>
  <c r="D5" i="58"/>
  <c r="D8" i="58" s="1"/>
  <c r="B17" i="58" s="1"/>
  <c r="N39" i="66"/>
  <c r="N41" i="66" s="1"/>
  <c r="N40" i="66"/>
  <c r="N42" i="66" s="1"/>
  <c r="M38" i="39"/>
  <c r="M40" i="39" s="1"/>
  <c r="M39" i="39"/>
  <c r="M41" i="39" s="1"/>
  <c r="N30" i="39"/>
  <c r="O32" i="77" l="1"/>
  <c r="N41" i="77"/>
  <c r="N43" i="77" s="1"/>
  <c r="N40" i="77"/>
  <c r="N42" i="77" s="1"/>
  <c r="D15" i="58"/>
  <c r="O39" i="66"/>
  <c r="O41" i="66" s="1"/>
  <c r="O40" i="66"/>
  <c r="O42" i="66" s="1"/>
  <c r="N38" i="39"/>
  <c r="N40" i="39" s="1"/>
  <c r="N39" i="39"/>
  <c r="N41" i="39" s="1"/>
  <c r="O30" i="39"/>
  <c r="O40" i="77" l="1"/>
  <c r="O42" i="77" s="1"/>
  <c r="O41" i="77"/>
  <c r="O43" i="77" s="1"/>
  <c r="P32" i="77"/>
  <c r="P40" i="66"/>
  <c r="P42" i="66" s="1"/>
  <c r="P39" i="66"/>
  <c r="P41" i="66" s="1"/>
  <c r="O38" i="39"/>
  <c r="O40" i="39" s="1"/>
  <c r="O39" i="39"/>
  <c r="O41" i="39" s="1"/>
  <c r="P30" i="39"/>
  <c r="P40" i="77" l="1"/>
  <c r="P42" i="77" s="1"/>
  <c r="Q32" i="77"/>
  <c r="P41" i="77"/>
  <c r="P43" i="77" s="1"/>
  <c r="Q39" i="66"/>
  <c r="Q41" i="66" s="1"/>
  <c r="Q40" i="66"/>
  <c r="Q42" i="66" s="1"/>
  <c r="P38" i="39"/>
  <c r="P40" i="39" s="1"/>
  <c r="P39" i="39"/>
  <c r="P41" i="39" s="1"/>
  <c r="Q30" i="39"/>
  <c r="Q41" i="77" l="1"/>
  <c r="Q43" i="77" s="1"/>
  <c r="R32" i="77"/>
  <c r="Q40" i="77"/>
  <c r="Q42" i="77" s="1"/>
  <c r="R39" i="66"/>
  <c r="R41" i="66" s="1"/>
  <c r="R40" i="66"/>
  <c r="R42" i="66" s="1"/>
  <c r="Q38" i="39"/>
  <c r="Q40" i="39" s="1"/>
  <c r="Q39" i="39"/>
  <c r="Q41" i="39" s="1"/>
  <c r="R30" i="39"/>
  <c r="R41" i="77" l="1"/>
  <c r="R43" i="77" s="1"/>
  <c r="R40" i="77"/>
  <c r="R42" i="77" s="1"/>
  <c r="S32" i="77"/>
  <c r="S39" i="66"/>
  <c r="S41" i="66" s="1"/>
  <c r="S40" i="66"/>
  <c r="S42" i="66" s="1"/>
  <c r="R38" i="39"/>
  <c r="R40" i="39" s="1"/>
  <c r="R39" i="39"/>
  <c r="R41" i="39" s="1"/>
  <c r="S30" i="39"/>
  <c r="S41" i="77" l="1"/>
  <c r="S43" i="77" s="1"/>
  <c r="T32" i="77"/>
  <c r="S40" i="77"/>
  <c r="S42" i="77" s="1"/>
  <c r="T40" i="66"/>
  <c r="T42" i="66" s="1"/>
  <c r="T39" i="66"/>
  <c r="T41" i="66" s="1"/>
  <c r="S38" i="39"/>
  <c r="S40" i="39" s="1"/>
  <c r="S39" i="39"/>
  <c r="S41" i="39" s="1"/>
  <c r="T30" i="39"/>
  <c r="T40" i="77" l="1"/>
  <c r="T42" i="77" s="1"/>
  <c r="T41" i="77"/>
  <c r="T43" i="77" s="1"/>
  <c r="U32" i="77"/>
  <c r="U39" i="66"/>
  <c r="U41" i="66" s="1"/>
  <c r="U40" i="66"/>
  <c r="U42" i="66" s="1"/>
  <c r="T38" i="39"/>
  <c r="T40" i="39" s="1"/>
  <c r="T39" i="39"/>
  <c r="T41" i="39" s="1"/>
  <c r="U30" i="39"/>
  <c r="U41" i="77" l="1"/>
  <c r="U43" i="77" s="1"/>
  <c r="V32" i="77"/>
  <c r="U40" i="77"/>
  <c r="U42" i="77" s="1"/>
  <c r="V39" i="66"/>
  <c r="V41" i="66" s="1"/>
  <c r="V40" i="66"/>
  <c r="V42" i="66" s="1"/>
  <c r="U38" i="39"/>
  <c r="U40" i="39" s="1"/>
  <c r="U39" i="39"/>
  <c r="U41" i="39" s="1"/>
  <c r="V30" i="39"/>
  <c r="W32" i="77" l="1"/>
  <c r="V41" i="77"/>
  <c r="V43" i="77" s="1"/>
  <c r="V40" i="77"/>
  <c r="V42" i="77" s="1"/>
  <c r="W39" i="66"/>
  <c r="W41" i="66" s="1"/>
  <c r="W40" i="66"/>
  <c r="W42" i="66" s="1"/>
  <c r="V38" i="39"/>
  <c r="V40" i="39" s="1"/>
  <c r="V39" i="39"/>
  <c r="V41" i="39" s="1"/>
  <c r="W30" i="39"/>
  <c r="W40" i="77" l="1"/>
  <c r="W42" i="77" s="1"/>
  <c r="X32" i="77"/>
  <c r="W41" i="77"/>
  <c r="W43" i="77" s="1"/>
  <c r="X40" i="66"/>
  <c r="X42" i="66" s="1"/>
  <c r="X39" i="66"/>
  <c r="X41" i="66" s="1"/>
  <c r="W38" i="39"/>
  <c r="W40" i="39" s="1"/>
  <c r="W39" i="39"/>
  <c r="W41" i="39" s="1"/>
  <c r="X30" i="39"/>
  <c r="X40" i="77" l="1"/>
  <c r="X42" i="77" s="1"/>
  <c r="X41" i="77"/>
  <c r="X43" i="77" s="1"/>
  <c r="Y32" i="77"/>
  <c r="Y39" i="66"/>
  <c r="Y41" i="66" s="1"/>
  <c r="Y40" i="66"/>
  <c r="Y42" i="66" s="1"/>
  <c r="X38" i="39"/>
  <c r="X40" i="39" s="1"/>
  <c r="X39" i="39"/>
  <c r="X41" i="39" s="1"/>
  <c r="Y30" i="39"/>
  <c r="Y41" i="77" l="1"/>
  <c r="Y43" i="77" s="1"/>
  <c r="Z32" i="77"/>
  <c r="Y40" i="77"/>
  <c r="Y42" i="77" s="1"/>
  <c r="Z39" i="66"/>
  <c r="Z41" i="66" s="1"/>
  <c r="G36" i="66" s="1"/>
  <c r="Z40" i="66"/>
  <c r="Z42" i="66" s="1"/>
  <c r="G37" i="66" s="1"/>
  <c r="Y38" i="39"/>
  <c r="Y40" i="39" s="1"/>
  <c r="Y39" i="39"/>
  <c r="Y41" i="39" s="1"/>
  <c r="Z30" i="39"/>
  <c r="Z39" i="39" s="1"/>
  <c r="Z41" i="39" s="1"/>
  <c r="Z41" i="77" l="1"/>
  <c r="Z43" i="77" s="1"/>
  <c r="G38" i="77" s="1"/>
  <c r="Z40" i="77"/>
  <c r="Z42" i="77" s="1"/>
  <c r="G37" i="77" s="1"/>
  <c r="G36" i="39"/>
  <c r="Z38" i="39"/>
  <c r="Z40" i="39" s="1"/>
  <c r="G35" i="39" s="1"/>
  <c r="G15" i="99" l="1"/>
  <c r="J54" i="83"/>
  <c r="J66" i="83" s="1"/>
  <c r="N54" i="83"/>
  <c r="N66" i="83" s="1"/>
  <c r="R54" i="83"/>
  <c r="R66" i="83" s="1"/>
  <c r="V54" i="83"/>
  <c r="V66" i="83" s="1"/>
  <c r="Z54" i="83"/>
  <c r="Z66" i="83" s="1"/>
  <c r="AD54" i="83"/>
  <c r="AD66" i="83" s="1"/>
  <c r="AH54" i="83"/>
  <c r="AH66" i="83" s="1"/>
  <c r="AL54" i="83"/>
  <c r="AL66" i="83" s="1"/>
  <c r="AP54" i="83"/>
  <c r="AP66" i="83" s="1"/>
  <c r="AT54" i="83"/>
  <c r="AT66" i="83" s="1"/>
  <c r="AX54" i="83"/>
  <c r="AX66" i="83" s="1"/>
  <c r="BB54" i="83"/>
  <c r="BB66" i="83" s="1"/>
  <c r="BF54" i="83"/>
  <c r="BF66" i="83" s="1"/>
  <c r="BJ54" i="83"/>
  <c r="BJ66" i="83" s="1"/>
  <c r="BN54" i="83"/>
  <c r="BN66" i="83" s="1"/>
  <c r="BR54" i="83"/>
  <c r="BR66" i="83" s="1"/>
  <c r="BV54" i="83"/>
  <c r="BV66" i="83" s="1"/>
  <c r="BZ54" i="83"/>
  <c r="BZ66" i="83" s="1"/>
  <c r="CD54" i="83"/>
  <c r="CD66" i="83" s="1"/>
  <c r="CH54" i="83"/>
  <c r="CH66" i="83" s="1"/>
  <c r="CL54" i="83"/>
  <c r="CL66" i="83" s="1"/>
  <c r="M54" i="83"/>
  <c r="M66" i="83" s="1"/>
  <c r="Y54" i="83"/>
  <c r="Y66" i="83" s="1"/>
  <c r="AK54" i="83"/>
  <c r="AK66" i="83" s="1"/>
  <c r="AS54" i="83"/>
  <c r="AS66" i="83" s="1"/>
  <c r="BE54" i="83"/>
  <c r="BE66" i="83" s="1"/>
  <c r="BQ54" i="83"/>
  <c r="BQ66" i="83" s="1"/>
  <c r="CC54" i="83"/>
  <c r="CC66" i="83" s="1"/>
  <c r="K54" i="83"/>
  <c r="K66" i="83" s="1"/>
  <c r="O54" i="83"/>
  <c r="O66" i="83" s="1"/>
  <c r="S54" i="83"/>
  <c r="S66" i="83" s="1"/>
  <c r="W54" i="83"/>
  <c r="W66" i="83" s="1"/>
  <c r="AA54" i="83"/>
  <c r="AA66" i="83" s="1"/>
  <c r="AE54" i="83"/>
  <c r="AE66" i="83" s="1"/>
  <c r="AI54" i="83"/>
  <c r="AI66" i="83" s="1"/>
  <c r="AM54" i="83"/>
  <c r="AM66" i="83" s="1"/>
  <c r="AQ54" i="83"/>
  <c r="AQ66" i="83" s="1"/>
  <c r="AU54" i="83"/>
  <c r="AU66" i="83" s="1"/>
  <c r="AY54" i="83"/>
  <c r="AY66" i="83" s="1"/>
  <c r="BC54" i="83"/>
  <c r="BC66" i="83" s="1"/>
  <c r="BG54" i="83"/>
  <c r="BG66" i="83" s="1"/>
  <c r="BK54" i="83"/>
  <c r="BK66" i="83" s="1"/>
  <c r="BO54" i="83"/>
  <c r="BO66" i="83" s="1"/>
  <c r="BS54" i="83"/>
  <c r="BS66" i="83" s="1"/>
  <c r="BW54" i="83"/>
  <c r="BW66" i="83" s="1"/>
  <c r="CA54" i="83"/>
  <c r="CA66" i="83" s="1"/>
  <c r="CE54" i="83"/>
  <c r="CE66" i="83" s="1"/>
  <c r="CI54" i="83"/>
  <c r="CI66" i="83" s="1"/>
  <c r="I54" i="83"/>
  <c r="I66" i="83" s="1"/>
  <c r="AG54" i="83"/>
  <c r="AG66" i="83" s="1"/>
  <c r="AW54" i="83"/>
  <c r="AW66" i="83" s="1"/>
  <c r="BI54" i="83"/>
  <c r="BI66" i="83" s="1"/>
  <c r="BU54" i="83"/>
  <c r="BU66" i="83" s="1"/>
  <c r="CG54" i="83"/>
  <c r="CG66" i="83" s="1"/>
  <c r="H54" i="83"/>
  <c r="L54" i="83"/>
  <c r="L66" i="83" s="1"/>
  <c r="P54" i="83"/>
  <c r="P66" i="83" s="1"/>
  <c r="T54" i="83"/>
  <c r="T66" i="83" s="1"/>
  <c r="X54" i="83"/>
  <c r="X66" i="83" s="1"/>
  <c r="AB54" i="83"/>
  <c r="AB66" i="83" s="1"/>
  <c r="AF54" i="83"/>
  <c r="AF66" i="83" s="1"/>
  <c r="AJ54" i="83"/>
  <c r="AJ66" i="83" s="1"/>
  <c r="AN54" i="83"/>
  <c r="AN66" i="83" s="1"/>
  <c r="AR54" i="83"/>
  <c r="AR66" i="83" s="1"/>
  <c r="AV54" i="83"/>
  <c r="AV66" i="83" s="1"/>
  <c r="AZ54" i="83"/>
  <c r="AZ66" i="83" s="1"/>
  <c r="BD54" i="83"/>
  <c r="BD66" i="83" s="1"/>
  <c r="BH54" i="83"/>
  <c r="BH66" i="83" s="1"/>
  <c r="BL54" i="83"/>
  <c r="BL66" i="83" s="1"/>
  <c r="BP54" i="83"/>
  <c r="BP66" i="83" s="1"/>
  <c r="BT54" i="83"/>
  <c r="BT66" i="83" s="1"/>
  <c r="BX54" i="83"/>
  <c r="BX66" i="83" s="1"/>
  <c r="CB54" i="83"/>
  <c r="CB66" i="83" s="1"/>
  <c r="CF54" i="83"/>
  <c r="CF66" i="83" s="1"/>
  <c r="CJ54" i="83"/>
  <c r="CJ66" i="83" s="1"/>
  <c r="Q54" i="83"/>
  <c r="Q66" i="83" s="1"/>
  <c r="U54" i="83"/>
  <c r="U66" i="83" s="1"/>
  <c r="AC54" i="83"/>
  <c r="AC66" i="83" s="1"/>
  <c r="AO54" i="83"/>
  <c r="AO66" i="83" s="1"/>
  <c r="BA54" i="83"/>
  <c r="BA66" i="83" s="1"/>
  <c r="BM54" i="83"/>
  <c r="BM66" i="83" s="1"/>
  <c r="BY54" i="83"/>
  <c r="BY66" i="83" s="1"/>
  <c r="CK54" i="83"/>
  <c r="CK66" i="83" s="1"/>
  <c r="BA67" i="83" l="1"/>
  <c r="BA68" i="83"/>
  <c r="BH67" i="83"/>
  <c r="BH68" i="83"/>
  <c r="L67" i="83"/>
  <c r="L68" i="83"/>
  <c r="AQ67" i="83"/>
  <c r="AQ68" i="83"/>
  <c r="AS67" i="83"/>
  <c r="AS68" i="83"/>
  <c r="AP67" i="83"/>
  <c r="AP68" i="83"/>
  <c r="CK67" i="83"/>
  <c r="CK68" i="83"/>
  <c r="AO67" i="83"/>
  <c r="AO68" i="83"/>
  <c r="CJ67" i="83"/>
  <c r="CJ68" i="83"/>
  <c r="BT67" i="83"/>
  <c r="BT68" i="83"/>
  <c r="BD67" i="83"/>
  <c r="BD68" i="83"/>
  <c r="AN67" i="83"/>
  <c r="AN68" i="83"/>
  <c r="X67" i="83"/>
  <c r="X68" i="83"/>
  <c r="CM54" i="83"/>
  <c r="H66" i="83"/>
  <c r="AW67" i="83"/>
  <c r="AW68" i="83"/>
  <c r="CI67" i="83"/>
  <c r="CI68" i="83"/>
  <c r="BS68" i="83"/>
  <c r="BS67" i="83"/>
  <c r="BC67" i="83"/>
  <c r="BC68" i="83"/>
  <c r="AM67" i="83"/>
  <c r="AM68" i="83"/>
  <c r="W67" i="83"/>
  <c r="W68" i="83"/>
  <c r="CC67" i="83"/>
  <c r="CC68" i="83"/>
  <c r="AK67" i="83"/>
  <c r="AK68" i="83"/>
  <c r="CH68" i="83"/>
  <c r="CH67" i="83"/>
  <c r="BR67" i="83"/>
  <c r="BR68" i="83"/>
  <c r="BB67" i="83"/>
  <c r="BB68" i="83"/>
  <c r="AL67" i="83"/>
  <c r="AL68" i="83"/>
  <c r="V68" i="83"/>
  <c r="V67" i="83"/>
  <c r="Q67" i="83"/>
  <c r="Q68" i="83"/>
  <c r="AR67" i="83"/>
  <c r="AR68" i="83"/>
  <c r="BI67" i="83"/>
  <c r="BI68" i="83"/>
  <c r="BG67" i="83"/>
  <c r="BG68" i="83"/>
  <c r="K67" i="83"/>
  <c r="K68" i="83"/>
  <c r="BV67" i="83"/>
  <c r="BV68" i="83"/>
  <c r="J67" i="83"/>
  <c r="J68" i="83"/>
  <c r="BY67" i="83"/>
  <c r="BY68" i="83"/>
  <c r="AC67" i="83"/>
  <c r="AC68" i="83"/>
  <c r="CF67" i="83"/>
  <c r="CF68" i="83"/>
  <c r="BP67" i="83"/>
  <c r="BP68" i="83"/>
  <c r="AZ67" i="83"/>
  <c r="AZ68" i="83"/>
  <c r="AJ67" i="83"/>
  <c r="AJ68" i="83"/>
  <c r="T67" i="83"/>
  <c r="T68" i="83"/>
  <c r="CG67" i="83"/>
  <c r="CG68" i="83"/>
  <c r="AG67" i="83"/>
  <c r="AG68" i="83"/>
  <c r="CE67" i="83"/>
  <c r="CE68" i="83"/>
  <c r="BO67" i="83"/>
  <c r="BO68" i="83"/>
  <c r="AY67" i="83"/>
  <c r="AY68" i="83"/>
  <c r="AI67" i="83"/>
  <c r="AI68" i="83"/>
  <c r="S67" i="83"/>
  <c r="S68" i="83"/>
  <c r="BQ68" i="83"/>
  <c r="BQ67" i="83"/>
  <c r="Y67" i="83"/>
  <c r="Y68" i="83"/>
  <c r="CD68" i="83"/>
  <c r="CD67" i="83"/>
  <c r="BN67" i="83"/>
  <c r="BN68" i="83"/>
  <c r="AX67" i="83"/>
  <c r="AX68" i="83"/>
  <c r="AH67" i="83"/>
  <c r="AH68" i="83"/>
  <c r="R67" i="83"/>
  <c r="R68" i="83"/>
  <c r="BX67" i="83"/>
  <c r="BX68" i="83"/>
  <c r="AB68" i="83"/>
  <c r="AB67" i="83"/>
  <c r="BW67" i="83"/>
  <c r="BW68" i="83"/>
  <c r="AA68" i="83"/>
  <c r="AA67" i="83"/>
  <c r="CL67" i="83"/>
  <c r="CL68" i="83"/>
  <c r="BF68" i="83"/>
  <c r="BF67" i="83"/>
  <c r="Z68" i="83"/>
  <c r="Z67" i="83"/>
  <c r="BM67" i="83"/>
  <c r="BM68" i="83"/>
  <c r="U67" i="83"/>
  <c r="U68" i="83"/>
  <c r="CB67" i="83"/>
  <c r="CB68" i="83"/>
  <c r="BL68" i="83"/>
  <c r="BL67" i="83"/>
  <c r="AV68" i="83"/>
  <c r="AV67" i="83"/>
  <c r="AF67" i="83"/>
  <c r="AF68" i="83"/>
  <c r="P67" i="83"/>
  <c r="P68" i="83"/>
  <c r="BU67" i="83"/>
  <c r="BU68" i="83"/>
  <c r="I67" i="83"/>
  <c r="I68" i="83"/>
  <c r="CA67" i="83"/>
  <c r="CA68" i="83"/>
  <c r="BK67" i="83"/>
  <c r="BK68" i="83"/>
  <c r="AU67" i="83"/>
  <c r="AU68" i="83"/>
  <c r="AE67" i="83"/>
  <c r="AE68" i="83"/>
  <c r="O67" i="83"/>
  <c r="O68" i="83"/>
  <c r="BE67" i="83"/>
  <c r="BE68" i="83"/>
  <c r="M68" i="83"/>
  <c r="M67" i="83"/>
  <c r="BZ67" i="83"/>
  <c r="BZ68" i="83"/>
  <c r="BJ67" i="83"/>
  <c r="BJ68" i="83"/>
  <c r="AT67" i="83"/>
  <c r="AT68" i="83"/>
  <c r="AD68" i="83"/>
  <c r="AD67" i="83"/>
  <c r="N68" i="83"/>
  <c r="N67" i="83"/>
  <c r="H67" i="83" l="1"/>
  <c r="CM67" i="83" s="1"/>
  <c r="C2" i="86" s="1"/>
  <c r="H68" i="83"/>
  <c r="CM68" i="83" s="1"/>
  <c r="C3" i="86" s="1"/>
  <c r="C26" i="86" s="1"/>
  <c r="C25" i="86" s="1"/>
  <c r="C33" i="86" s="1"/>
  <c r="CM66" i="83"/>
  <c r="C16" i="86" l="1"/>
  <c r="C15" i="86" s="1"/>
  <c r="C23" i="86" s="1"/>
  <c r="C6" i="86"/>
  <c r="C5" i="86" s="1"/>
  <c r="C13" i="86" s="1"/>
  <c r="H19" i="94" l="1"/>
  <c r="H20" i="94" l="1"/>
  <c r="B6" i="91" s="1"/>
  <c r="C12" i="92"/>
  <c r="H49" i="94"/>
  <c r="H50" i="94" s="1"/>
  <c r="H22" i="94"/>
  <c r="H45" i="94"/>
  <c r="C8" i="93" l="1"/>
  <c r="G12" i="92"/>
  <c r="D12" i="92"/>
  <c r="D6" i="92" s="1"/>
  <c r="D13" i="92" s="1"/>
  <c r="D15" i="92" s="1"/>
  <c r="D16" i="92" s="1"/>
  <c r="D17" i="92" s="1"/>
  <c r="C22" i="92" s="1"/>
  <c r="E12" i="92"/>
  <c r="E6" i="92" s="1"/>
  <c r="E13" i="92" s="1"/>
  <c r="E15" i="92" s="1"/>
  <c r="E16" i="92" s="1"/>
  <c r="E17" i="92" s="1"/>
  <c r="C23" i="92" s="1"/>
  <c r="F12" i="92"/>
  <c r="F6" i="92" s="1"/>
  <c r="F13" i="92" s="1"/>
  <c r="F15" i="92" s="1"/>
  <c r="F16" i="92" s="1"/>
  <c r="F17" i="92" s="1"/>
  <c r="C24" i="92" s="1"/>
  <c r="C6" i="92"/>
  <c r="B13" i="91"/>
  <c r="B15" i="91" s="1"/>
  <c r="B16" i="91" s="1"/>
  <c r="B17" i="91" s="1"/>
  <c r="H23" i="94"/>
  <c r="H24" i="94"/>
  <c r="H25" i="94"/>
  <c r="G6" i="92" l="1"/>
  <c r="G13" i="92" s="1"/>
  <c r="G15" i="92" s="1"/>
  <c r="G16" i="92" s="1"/>
  <c r="G17" i="92" s="1"/>
  <c r="C25" i="92" s="1"/>
  <c r="C13" i="92"/>
  <c r="C15" i="92" s="1"/>
  <c r="C16" i="92" s="1"/>
  <c r="C17" i="92" s="1"/>
  <c r="C21" i="92" s="1"/>
  <c r="D24" i="92" s="1"/>
  <c r="E8" i="93"/>
  <c r="C9" i="93"/>
  <c r="C10" i="93" s="1"/>
  <c r="C16" i="93" s="1"/>
  <c r="C20" i="93" s="1"/>
  <c r="H30" i="94"/>
  <c r="G34" i="94"/>
  <c r="H29" i="94"/>
  <c r="H28" i="94"/>
  <c r="G33" i="94" s="1"/>
  <c r="D23" i="92" l="1"/>
  <c r="D25" i="92"/>
  <c r="D22" i="92"/>
  <c r="F8" i="93"/>
  <c r="E9" i="93"/>
  <c r="E10" i="93" s="1"/>
  <c r="E16" i="93" s="1"/>
  <c r="C22" i="93" s="1"/>
  <c r="I30" i="94"/>
  <c r="H39" i="94"/>
  <c r="H41" i="94" s="1"/>
  <c r="H38" i="94"/>
  <c r="H40" i="94" s="1"/>
  <c r="G8" i="93" l="1"/>
  <c r="F9" i="93"/>
  <c r="F10" i="93" s="1"/>
  <c r="F16" i="93" s="1"/>
  <c r="C23" i="93" s="1"/>
  <c r="I39" i="94"/>
  <c r="I41" i="94" s="1"/>
  <c r="I38" i="94"/>
  <c r="I40" i="94" s="1"/>
  <c r="J30" i="94"/>
  <c r="H8" i="93" l="1"/>
  <c r="H9" i="93" s="1"/>
  <c r="H10" i="93" s="1"/>
  <c r="H16" i="93" s="1"/>
  <c r="C25" i="93" s="1"/>
  <c r="G9" i="93"/>
  <c r="G10" i="93" s="1"/>
  <c r="G16" i="93" s="1"/>
  <c r="C24" i="93" s="1"/>
  <c r="J39" i="94"/>
  <c r="J41" i="94" s="1"/>
  <c r="K30" i="94"/>
  <c r="J38" i="94"/>
  <c r="J40" i="94" s="1"/>
  <c r="L30" i="94" l="1"/>
  <c r="K39" i="94"/>
  <c r="K41" i="94" s="1"/>
  <c r="K38" i="94"/>
  <c r="K40" i="94" s="1"/>
  <c r="L38" i="94" l="1"/>
  <c r="L40" i="94" s="1"/>
  <c r="L39" i="94"/>
  <c r="L41" i="94" s="1"/>
  <c r="M30" i="94"/>
  <c r="M38" i="94" l="1"/>
  <c r="M40" i="94" s="1"/>
  <c r="M39" i="94"/>
  <c r="M41" i="94" s="1"/>
  <c r="N30" i="94"/>
  <c r="N39" i="94" l="1"/>
  <c r="N41" i="94" s="1"/>
  <c r="O30" i="94"/>
  <c r="N38" i="94"/>
  <c r="N40" i="94" s="1"/>
  <c r="P30" i="94" l="1"/>
  <c r="O38" i="94"/>
  <c r="O40" i="94" s="1"/>
  <c r="O39" i="94"/>
  <c r="O41" i="94" s="1"/>
  <c r="P39" i="94" l="1"/>
  <c r="P41" i="94" s="1"/>
  <c r="P38" i="94"/>
  <c r="P40" i="94" s="1"/>
  <c r="Q30" i="94"/>
  <c r="Q39" i="94" l="1"/>
  <c r="Q41" i="94" s="1"/>
  <c r="Q38" i="94"/>
  <c r="Q40" i="94" s="1"/>
  <c r="R30" i="94"/>
  <c r="R39" i="94" l="1"/>
  <c r="R41" i="94" s="1"/>
  <c r="S30" i="94"/>
  <c r="R38" i="94"/>
  <c r="R40" i="94" s="1"/>
  <c r="S39" i="94" l="1"/>
  <c r="S41" i="94" s="1"/>
  <c r="S38" i="94"/>
  <c r="S40" i="94" s="1"/>
  <c r="T30" i="94"/>
  <c r="T38" i="94" l="1"/>
  <c r="T40" i="94" s="1"/>
  <c r="T39" i="94"/>
  <c r="T41" i="94" s="1"/>
  <c r="U30" i="94"/>
  <c r="U39" i="94" l="1"/>
  <c r="U41" i="94" s="1"/>
  <c r="V30" i="94"/>
  <c r="U38" i="94"/>
  <c r="U40" i="94" s="1"/>
  <c r="V39" i="94" l="1"/>
  <c r="V41" i="94" s="1"/>
  <c r="W30" i="94"/>
  <c r="V38" i="94"/>
  <c r="V40" i="94" s="1"/>
  <c r="X30" i="94" l="1"/>
  <c r="W38" i="94"/>
  <c r="W40" i="94" s="1"/>
  <c r="W39" i="94"/>
  <c r="W41" i="94" s="1"/>
  <c r="X39" i="94" l="1"/>
  <c r="X41" i="94" s="1"/>
  <c r="X38" i="94"/>
  <c r="X40" i="94" s="1"/>
  <c r="Y30" i="94"/>
  <c r="Y39" i="94" l="1"/>
  <c r="Y41" i="94" s="1"/>
  <c r="Z30" i="94"/>
  <c r="Y38" i="94"/>
  <c r="Y40" i="94" s="1"/>
  <c r="Z38" i="94" l="1"/>
  <c r="Z40" i="94" s="1"/>
  <c r="G35" i="94" s="1"/>
  <c r="Z39" i="94"/>
  <c r="Z41" i="94" s="1"/>
  <c r="G36" i="9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0C19FC-2878-4D06-A72C-2F897937F4DD}" keepAlive="1" name="Query - option-chain-indices?symbol=NIFTY" description="Connection to the 'option-chain-indices?symbol=NIFTY' query in the workbook." type="5" refreshedVersion="7" background="1" saveData="1">
    <dbPr connection="Provider=Microsoft.Mashup.OleDb.1;Data Source=$Workbook$;Location=&quot;option-chain-indices?symbol=NIFTY&quot;;Extended Properties=&quot;&quot;" command="SELECT * FROM [option-chain-indices?symbol=NIFTY]"/>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<sst xmlns="http://schemas.openxmlformats.org/spreadsheetml/2006/main" count="2542" uniqueCount="599">
  <si>
    <t>Propane</t>
  </si>
  <si>
    <t>Naphtha</t>
  </si>
  <si>
    <t>Propylene</t>
  </si>
  <si>
    <t>Benzene</t>
  </si>
  <si>
    <t>Product</t>
  </si>
  <si>
    <t>C2</t>
  </si>
  <si>
    <t>C3</t>
  </si>
  <si>
    <t>C4</t>
  </si>
  <si>
    <t>CBFS</t>
  </si>
  <si>
    <t>Hydrogen</t>
  </si>
  <si>
    <t>C9+ Fraction</t>
  </si>
  <si>
    <t>MANUFACTURING COST</t>
  </si>
  <si>
    <t xml:space="preserve">Raw materials </t>
  </si>
  <si>
    <t>-</t>
  </si>
  <si>
    <t>Catalyst &amp; Chemicals</t>
  </si>
  <si>
    <t>Labour</t>
  </si>
  <si>
    <t>Salaries &amp; Wages (calculated)</t>
  </si>
  <si>
    <t>Variable Overheads</t>
  </si>
  <si>
    <t>Packaging Cost (calculated)</t>
  </si>
  <si>
    <t xml:space="preserve">Utilities (calculated) </t>
  </si>
  <si>
    <t>Fixed Overheads</t>
  </si>
  <si>
    <t>Selling Overheads</t>
  </si>
  <si>
    <t>Total  Production Cost</t>
  </si>
  <si>
    <t>D3 + D16</t>
  </si>
  <si>
    <t>Description</t>
  </si>
  <si>
    <t>Operating Period</t>
  </si>
  <si>
    <t>Total Capacity</t>
  </si>
  <si>
    <t>Operating Revenue</t>
  </si>
  <si>
    <t xml:space="preserve">Raw Material </t>
  </si>
  <si>
    <t xml:space="preserve">Labour </t>
  </si>
  <si>
    <t>Total Operating Cost</t>
  </si>
  <si>
    <t>Depreciation</t>
  </si>
  <si>
    <t>Net Cash Flow</t>
  </si>
  <si>
    <t>Cost of Capital (10%)</t>
  </si>
  <si>
    <t>Discounted Cash Flow</t>
  </si>
  <si>
    <t>Undiscounted Cash Flow</t>
  </si>
  <si>
    <t>NPV</t>
  </si>
  <si>
    <t>IRR</t>
  </si>
  <si>
    <t>*Accounts Receivables will be taken as of 60 Days.</t>
  </si>
  <si>
    <t>*Accounts Payables will be taken as of 60 Days.</t>
  </si>
  <si>
    <t>*Inentory will be taken as of 30 Days.</t>
  </si>
  <si>
    <t>Accounts Receivable</t>
  </si>
  <si>
    <t>DSO</t>
  </si>
  <si>
    <t>Days</t>
  </si>
  <si>
    <t>Change in sales/ mth.</t>
  </si>
  <si>
    <t>Change in AR</t>
  </si>
  <si>
    <t>Inventory (Impact of COGS change)</t>
  </si>
  <si>
    <t>DIO (Days Inventory)</t>
  </si>
  <si>
    <t>Change in COGS/ mth.</t>
  </si>
  <si>
    <t>Change in Inv.</t>
  </si>
  <si>
    <t>Accounts Payable</t>
  </si>
  <si>
    <t>DPO</t>
  </si>
  <si>
    <t>Change in payables/ mth.</t>
  </si>
  <si>
    <t>A</t>
  </si>
  <si>
    <t>TOTAL FIXED-CAPITAL INVESTMENT</t>
  </si>
  <si>
    <t>A1</t>
  </si>
  <si>
    <t>TOTAL DIRECT PLANT COST</t>
  </si>
  <si>
    <t>Purchased-equipment installation</t>
  </si>
  <si>
    <t>Instrumentation and controls (installed)</t>
  </si>
  <si>
    <t>Piping (installed)</t>
  </si>
  <si>
    <t>Electrical (installed)</t>
  </si>
  <si>
    <t>Buildings (including services)</t>
  </si>
  <si>
    <t>Service facilities (installed)</t>
  </si>
  <si>
    <t>A2</t>
  </si>
  <si>
    <t>TOTAL INDIRECT PLANT COST</t>
  </si>
  <si>
    <t>Engineering and supervision</t>
  </si>
  <si>
    <t>Construction expenses</t>
  </si>
  <si>
    <t>Legal expenses</t>
  </si>
  <si>
    <t>Contractor’s fee</t>
  </si>
  <si>
    <t>Contingency</t>
  </si>
  <si>
    <t>B</t>
  </si>
  <si>
    <t>WORKING CAPITAL</t>
  </si>
  <si>
    <t>Safety and hazard analyses</t>
  </si>
  <si>
    <t>TOTAL CAPITAL INVESTMENT</t>
  </si>
  <si>
    <t>100 % Installation in Ist year of production</t>
  </si>
  <si>
    <t>* Capacity will be Installed in one Phase</t>
  </si>
  <si>
    <t xml:space="preserve">Annual Qty </t>
  </si>
  <si>
    <t xml:space="preserve">Unit Rate </t>
  </si>
  <si>
    <t>Amount</t>
  </si>
  <si>
    <t>Tonne</t>
  </si>
  <si>
    <t>VARIABLE COST</t>
  </si>
  <si>
    <t>II</t>
  </si>
  <si>
    <t>Sub-Total (1)</t>
  </si>
  <si>
    <t>TOTAL VARIABLE COST</t>
  </si>
  <si>
    <t>FIXED COST</t>
  </si>
  <si>
    <t>TOTAL FIXED COST</t>
  </si>
  <si>
    <t>Plant Overhead and Administrative Costs (7.5% of  3 + 6)</t>
  </si>
  <si>
    <t>PVC</t>
  </si>
  <si>
    <r>
      <t xml:space="preserve">A1 </t>
    </r>
    <r>
      <rPr>
        <sz val="10"/>
        <color theme="1"/>
        <rFont val="Arial"/>
        <family val="2"/>
      </rPr>
      <t xml:space="preserve">+ </t>
    </r>
    <r>
      <rPr>
        <b/>
        <sz val="10"/>
        <color theme="1"/>
        <rFont val="Arial"/>
        <family val="2"/>
      </rPr>
      <t>A2</t>
    </r>
  </si>
  <si>
    <r>
      <t xml:space="preserve">A </t>
    </r>
    <r>
      <rPr>
        <sz val="10"/>
        <color theme="1"/>
        <rFont val="Arial"/>
        <family val="2"/>
      </rPr>
      <t xml:space="preserve">+ </t>
    </r>
    <r>
      <rPr>
        <b/>
        <sz val="10"/>
        <color theme="1"/>
        <rFont val="Arial"/>
        <family val="2"/>
      </rPr>
      <t>B</t>
    </r>
  </si>
  <si>
    <t>No of Employee Break-Up</t>
  </si>
  <si>
    <t>No of Employee</t>
  </si>
  <si>
    <t>Total CTC</t>
  </si>
  <si>
    <t>Top Level</t>
  </si>
  <si>
    <t>Senior level Management</t>
  </si>
  <si>
    <t>Mid Level Management</t>
  </si>
  <si>
    <t xml:space="preserve">Engineer/ Sr. Engineer </t>
  </si>
  <si>
    <t>Blue Collar</t>
  </si>
  <si>
    <t>Contractual, skilled &amp; Unskilled Worker</t>
  </si>
  <si>
    <t>Raw Material</t>
  </si>
  <si>
    <t>Packaging</t>
  </si>
  <si>
    <t>Catalyst &amp;  Chemicals</t>
  </si>
  <si>
    <t>Utiltiies</t>
  </si>
  <si>
    <t>Salary &amp; Wages</t>
  </si>
  <si>
    <t>Corporate Overheads</t>
  </si>
  <si>
    <t>EDC</t>
  </si>
  <si>
    <t>Utilities</t>
  </si>
  <si>
    <t>Operating Cost</t>
  </si>
  <si>
    <t>Scenario 4</t>
  </si>
  <si>
    <t>CTC Break-up(Lacs)</t>
  </si>
  <si>
    <t>Total (Cr.)</t>
  </si>
  <si>
    <t>Heat Exchangers</t>
  </si>
  <si>
    <t>Flash Tanks</t>
  </si>
  <si>
    <t xml:space="preserve">Carbon Adsorption Column </t>
  </si>
  <si>
    <t>Absorption Column</t>
  </si>
  <si>
    <t>Scrubbing Column</t>
  </si>
  <si>
    <t>No</t>
  </si>
  <si>
    <t>S.No.</t>
  </si>
  <si>
    <t>INR Crore</t>
  </si>
  <si>
    <t>Regeneration Unit</t>
  </si>
  <si>
    <t>Distillation Towers</t>
  </si>
  <si>
    <t>Storage Tank (VCM Spherical)</t>
  </si>
  <si>
    <t>3. Exchange Rate = USD 1 = INR 78</t>
  </si>
  <si>
    <t>5. Raw material prices are 7 years historical avergae</t>
  </si>
  <si>
    <t>6. Sensitivity analysis : Impact on breakeven point due to changes in sales and operating cost.</t>
  </si>
  <si>
    <t>7. Feed prices are delivered prices at refinery gate and product prices are "OPaL Net back prices"</t>
  </si>
  <si>
    <t>8. Propane Furnace capex were provided by OPaL</t>
  </si>
  <si>
    <t>9. The product warehouse has been sized for 30 days production of PVC resin</t>
  </si>
  <si>
    <t xml:space="preserve">10.With reference to the economic summary of all the configuration will be tabulated in the report. </t>
  </si>
  <si>
    <t>11. Configuration with having highest IRR, NPV, Lowest opex and minimum capex will be shortlisted</t>
  </si>
  <si>
    <t>Nitrogen</t>
  </si>
  <si>
    <t>Power</t>
  </si>
  <si>
    <t>DM Water</t>
  </si>
  <si>
    <t>Cooling Water</t>
  </si>
  <si>
    <t>Feedstock</t>
  </si>
  <si>
    <t xml:space="preserve"> C9+   </t>
  </si>
  <si>
    <t xml:space="preserve"> CBFS </t>
  </si>
  <si>
    <t xml:space="preserve"> Hydrogenated Pygas (HPG) </t>
  </si>
  <si>
    <t xml:space="preserve">Benzene </t>
  </si>
  <si>
    <t xml:space="preserve">Delivered main equipment (includes auxiliary equipment) </t>
  </si>
  <si>
    <t xml:space="preserve">Chlorine </t>
  </si>
  <si>
    <t>Oxygen</t>
  </si>
  <si>
    <t>Steam</t>
  </si>
  <si>
    <t>INR / Tonne</t>
  </si>
  <si>
    <t>RPG</t>
  </si>
  <si>
    <t>Total Fixed Cost</t>
  </si>
  <si>
    <t>Ethylene</t>
  </si>
  <si>
    <t>Unit</t>
  </si>
  <si>
    <t>MT</t>
  </si>
  <si>
    <t>Ethane</t>
  </si>
  <si>
    <t>Butane</t>
  </si>
  <si>
    <t>Total</t>
  </si>
  <si>
    <t>Per MT of Ethylene</t>
  </si>
  <si>
    <t>Products &amp; Co-Products</t>
  </si>
  <si>
    <t>Yield per MT of feed</t>
  </si>
  <si>
    <t>Butadiene</t>
  </si>
  <si>
    <t>Pyrolysis Gasoline</t>
  </si>
  <si>
    <t>Hydrogen Export</t>
  </si>
  <si>
    <t>Methane</t>
  </si>
  <si>
    <t>Current Capacity of DFCU</t>
  </si>
  <si>
    <t>Fuel Gas Cracker (Internal)</t>
  </si>
  <si>
    <t>Production (KT)</t>
  </si>
  <si>
    <t>In KT</t>
  </si>
  <si>
    <t>Factor</t>
  </si>
  <si>
    <t>Feed</t>
  </si>
  <si>
    <t>Ethane (C2)</t>
  </si>
  <si>
    <t>Propane (C3)</t>
  </si>
  <si>
    <t>Butane (C4)</t>
  </si>
  <si>
    <t>Ethylene Feed Factor</t>
  </si>
  <si>
    <t>Propylene Feed Factor</t>
  </si>
  <si>
    <t>Fuel Gas export-Ethane Component</t>
  </si>
  <si>
    <t>Fuel Gas export-Propane Component</t>
  </si>
  <si>
    <t>Fuel Gas export-Butane Component</t>
  </si>
  <si>
    <t>Fuel Gas export-Naphtha Component</t>
  </si>
  <si>
    <t>Condensate Export</t>
  </si>
  <si>
    <t>Hydrogen MT Ethane Component for costing</t>
  </si>
  <si>
    <t>Hydrogen MT Propane Component for costing</t>
  </si>
  <si>
    <t>Hydrogen MT Butane Component for costing</t>
  </si>
  <si>
    <t>Hydrogen MT Naphtha Component for costing</t>
  </si>
  <si>
    <t>Hydrogen MT Export to polymers for credit</t>
  </si>
  <si>
    <t>Nitrogen-Rs./NM3 (Considered for Oxygen cost of Production)</t>
  </si>
  <si>
    <t>Condensate Cost  INR/M3</t>
  </si>
  <si>
    <t>Other Byproducts Benefit-Fuel Gas, Hydrogen and Condensate</t>
  </si>
  <si>
    <t>PVC Suspension  rigid grade K67 Ex Mumbai (India)</t>
  </si>
  <si>
    <t>Byproduct Model Ethylene/Propylene</t>
  </si>
  <si>
    <t>Chemicals cost in DFCU</t>
  </si>
  <si>
    <t>Chemical Cost in BDEU</t>
  </si>
  <si>
    <t>Utilities cost</t>
  </si>
  <si>
    <t>Factory overheads</t>
  </si>
  <si>
    <t>Total Depreciation</t>
  </si>
  <si>
    <t>Total Utilities and Fixed costs</t>
  </si>
  <si>
    <t>Total Recycle form Polymers</t>
  </si>
  <si>
    <t>Total Feed,Chemicals, Utilities, fixed and Recycle Costs</t>
  </si>
  <si>
    <t>Total Feed,Chemicals, Utilities, fixed and Recycle Costs - Byproduct Benefits</t>
  </si>
  <si>
    <t>TOTAL SALES</t>
  </si>
  <si>
    <t>Price (INR / Tonne)</t>
  </si>
  <si>
    <t>Annual Production</t>
  </si>
  <si>
    <t>Value in (INR Crore)</t>
  </si>
  <si>
    <t>Product &amp; Co-Product</t>
  </si>
  <si>
    <t>Catalyst and Chemicals</t>
  </si>
  <si>
    <t>Repair &amp; Maintenance (2.5 Pecent of Capex)</t>
  </si>
  <si>
    <r>
      <t>Additional</t>
    </r>
    <r>
      <rPr>
        <b/>
        <sz val="10"/>
        <color rgb="FFFF0000"/>
        <rFont val="Arial"/>
        <family val="2"/>
      </rPr>
      <t xml:space="preserve"> 426 KT </t>
    </r>
    <r>
      <rPr>
        <b/>
        <sz val="10"/>
        <color theme="1"/>
        <rFont val="Arial"/>
        <family val="2"/>
      </rPr>
      <t>Propane Furnace</t>
    </r>
  </si>
  <si>
    <t>Ethane Price</t>
  </si>
  <si>
    <t>Incremental Margin</t>
  </si>
  <si>
    <t>Margin</t>
  </si>
  <si>
    <t xml:space="preserve">Ethylene Production </t>
  </si>
  <si>
    <t>Propylene Production</t>
  </si>
  <si>
    <t>Scenario 5</t>
  </si>
  <si>
    <t>Scenario 6</t>
  </si>
  <si>
    <t>Naphtha Price</t>
  </si>
  <si>
    <t>Propane Price</t>
  </si>
  <si>
    <t>Overheads and Catalyst</t>
  </si>
  <si>
    <t>Product/ By product</t>
  </si>
  <si>
    <t>Factory Overheads</t>
  </si>
  <si>
    <t>C4 Mix Semi Finished goods</t>
  </si>
  <si>
    <t>Carbon Black Feed Stock</t>
  </si>
  <si>
    <t>Raw Py. Gas Semi finished goods</t>
  </si>
  <si>
    <t>Hydrogenated Pygas</t>
  </si>
  <si>
    <t>C9 PLUS</t>
  </si>
  <si>
    <t>Cooling water cost INR/M3</t>
  </si>
  <si>
    <t>Compressed Air cost INR/NM3</t>
  </si>
  <si>
    <t>BFW cost INR/MT</t>
  </si>
  <si>
    <t>1. Construction Period = 4 Years</t>
  </si>
  <si>
    <t>Expenditure phasing / Capacity Utilization</t>
  </si>
  <si>
    <r>
      <t>Yield For DFCU Products:</t>
    </r>
    <r>
      <rPr>
        <b/>
        <sz val="10"/>
        <color rgb="FF000000"/>
        <rFont val="Calibri"/>
        <family val="2"/>
      </rPr>
      <t xml:space="preserve"> </t>
    </r>
  </si>
  <si>
    <t>MIX C4</t>
  </si>
  <si>
    <t>By-product norms</t>
  </si>
  <si>
    <t>S.no</t>
  </si>
  <si>
    <t>By Product</t>
  </si>
  <si>
    <t>UOM</t>
  </si>
  <si>
    <t>Norms as per material balance</t>
  </si>
  <si>
    <t xml:space="preserve">MT Per MT of RPG </t>
  </si>
  <si>
    <t>MT Per MT of C4 Mix.</t>
  </si>
  <si>
    <t>Hydrogen export</t>
  </si>
  <si>
    <t>kg Per MT of Ethylene</t>
  </si>
  <si>
    <t>Fuel Gas export</t>
  </si>
  <si>
    <t>MT Per MT of Ethylene</t>
  </si>
  <si>
    <t>MT per MT of Py. Gas.</t>
  </si>
  <si>
    <t>ISBL</t>
  </si>
  <si>
    <t>OSBL</t>
  </si>
  <si>
    <t>Overheads</t>
  </si>
  <si>
    <t>Capex (In INR Crore)</t>
  </si>
  <si>
    <t>Total Investment (In INR Crore)</t>
  </si>
  <si>
    <t xml:space="preserve">All Figures are in INR Crore </t>
  </si>
  <si>
    <t>Expected consumption figures for raw materials and utilities per 1,000 kg VCM product</t>
  </si>
  <si>
    <t>Ethylene (100 %)            459 kg</t>
  </si>
  <si>
    <t>Chlorine (100 %)             575 kg</t>
  </si>
  <si>
    <t>Fuel gas                            2,700,000 kJ</t>
  </si>
  <si>
    <t>Combined figure for PVC and VCM plant: 435 kg ....(Energy will be exported to PVC)</t>
  </si>
  <si>
    <t>Steam                               250 kg</t>
  </si>
  <si>
    <t>Oxygen (100 %)              139 kg</t>
  </si>
  <si>
    <t xml:space="preserve">PVC </t>
  </si>
  <si>
    <t>Plant &amp; Machinery</t>
  </si>
  <si>
    <t>Percentage Share</t>
  </si>
  <si>
    <t>Total Investment  (INR Crore)</t>
  </si>
  <si>
    <t>The daily requirement of natural gas, depending on load, is between 4-4.5 million standard cubic meters per day.</t>
  </si>
  <si>
    <t>The total water requirement of the plant, depending on the load, is 3 million gallons per day</t>
  </si>
  <si>
    <t>Incineration Unit (Continuous)</t>
  </si>
  <si>
    <t>Change with base case</t>
  </si>
  <si>
    <t>Capacity Utilization</t>
  </si>
  <si>
    <t>Rs Crore</t>
  </si>
  <si>
    <t>1st Year</t>
  </si>
  <si>
    <t>2nd Year</t>
  </si>
  <si>
    <t>3rd Year</t>
  </si>
  <si>
    <t>4th Year</t>
  </si>
  <si>
    <t>5th Year</t>
  </si>
  <si>
    <t>6th Year</t>
  </si>
  <si>
    <t>7th Year</t>
  </si>
  <si>
    <t>8th Year</t>
  </si>
  <si>
    <t>9th Year</t>
  </si>
  <si>
    <t>10th Year</t>
  </si>
  <si>
    <t>Income Tax Provision</t>
  </si>
  <si>
    <t>Profit After Tax</t>
  </si>
  <si>
    <t xml:space="preserve">     </t>
  </si>
  <si>
    <t>(Rs. Crore)</t>
  </si>
  <si>
    <t>(A) Gross Revenue</t>
  </si>
  <si>
    <t>(B) Variable Expenses</t>
  </si>
  <si>
    <t>Total Variable Expenses</t>
  </si>
  <si>
    <t>(C) Contribution</t>
  </si>
  <si>
    <t>(D) Fixed Expenses</t>
  </si>
  <si>
    <t>(E) Break Even Point</t>
  </si>
  <si>
    <t>Debt Service Coverage Ratio (DSCR)</t>
  </si>
  <si>
    <t>(Rs Crore)</t>
  </si>
  <si>
    <t>Particulars</t>
  </si>
  <si>
    <t>(a) Profit After Tax</t>
  </si>
  <si>
    <t>(c) Add Back Interest on Term Loan</t>
  </si>
  <si>
    <t>Average DSCR (for Loan Period)</t>
  </si>
  <si>
    <t>Particular</t>
  </si>
  <si>
    <t xml:space="preserve">Share </t>
  </si>
  <si>
    <t>Value (Rs. Crore)</t>
  </si>
  <si>
    <t>Equity Share Capital</t>
  </si>
  <si>
    <t>Term Loan</t>
  </si>
  <si>
    <t>Rate of Interest on Term Loan</t>
  </si>
  <si>
    <t xml:space="preserve">                                                                                                                                                                                                                                                                                                                                                                                             </t>
  </si>
  <si>
    <t>Year</t>
  </si>
  <si>
    <t>Term Loan Amount</t>
  </si>
  <si>
    <t>Repayment (Half Yearly)</t>
  </si>
  <si>
    <t xml:space="preserve">Total Repayment during the year </t>
  </si>
  <si>
    <t>Interest (Half Yearly)</t>
  </si>
  <si>
    <t>Total Interest Payment during the year</t>
  </si>
  <si>
    <t>Gross Revenue</t>
  </si>
  <si>
    <t>Details</t>
  </si>
  <si>
    <t>Assumptions</t>
  </si>
  <si>
    <t>Source</t>
  </si>
  <si>
    <t>Feed Price</t>
  </si>
  <si>
    <t>Weighted Average</t>
  </si>
  <si>
    <t xml:space="preserve">Butane </t>
  </si>
  <si>
    <t>Actual</t>
  </si>
  <si>
    <t>MMBTU</t>
  </si>
  <si>
    <t>LNG</t>
  </si>
  <si>
    <t>Chemical Products' Price</t>
  </si>
  <si>
    <t>Monthly Feed (assuming Propane Furnace expansion @8500hrs Operations)**</t>
  </si>
  <si>
    <t>Derived</t>
  </si>
  <si>
    <t>Tonnes</t>
  </si>
  <si>
    <t>OPAL</t>
  </si>
  <si>
    <t>Production based on DFCU Yields</t>
  </si>
  <si>
    <t>Yield Data by OPaL</t>
  </si>
  <si>
    <t>By-Products</t>
  </si>
  <si>
    <t>Hydrogen Cost of Production</t>
  </si>
  <si>
    <t>Power INR/KWh</t>
  </si>
  <si>
    <t>Steam INR/MT</t>
  </si>
  <si>
    <t>DM Water INR/MT</t>
  </si>
  <si>
    <t>MWh</t>
  </si>
  <si>
    <t>NM3</t>
  </si>
  <si>
    <t xml:space="preserve">Compressed Air </t>
  </si>
  <si>
    <t>Boiler Feed Water</t>
  </si>
  <si>
    <t>INR</t>
  </si>
  <si>
    <t>Total Utilities Cost</t>
  </si>
  <si>
    <t>Catchem</t>
  </si>
  <si>
    <t>For Ethylene Production</t>
  </si>
  <si>
    <t>For 1,3 Butadiene Production</t>
  </si>
  <si>
    <t>Total Ethylene Produced</t>
  </si>
  <si>
    <t>Feed Cost</t>
  </si>
  <si>
    <t>Feed Ethylene</t>
  </si>
  <si>
    <t>Ethylene Feed Cost</t>
  </si>
  <si>
    <t>Feed Propylene</t>
  </si>
  <si>
    <t>Propylene Feed Cost</t>
  </si>
  <si>
    <t>Feed Yields</t>
  </si>
  <si>
    <t>Ethylene Cost Factor</t>
  </si>
  <si>
    <t>Propylene Cost Factor</t>
  </si>
  <si>
    <t>Feed Benefit</t>
  </si>
  <si>
    <t>By Product Benefit</t>
  </si>
  <si>
    <t>Feed Condensate</t>
  </si>
  <si>
    <t>Finished Product Prices</t>
  </si>
  <si>
    <t>INR/Tonne</t>
  </si>
  <si>
    <t>TechSci Research</t>
  </si>
  <si>
    <t>Average Revenue Per MT for PVC considered</t>
  </si>
  <si>
    <t>Ethylene Cost of Production based on By Products</t>
  </si>
  <si>
    <t>Propylene Cost of Production based on By Products</t>
  </si>
  <si>
    <t>Project Phase in Years</t>
  </si>
  <si>
    <t>Maintenance and repairs (1.5% of fixed-capital investment)(Capex)</t>
  </si>
  <si>
    <t>OPaL &amp; ChemAnalyst</t>
  </si>
  <si>
    <t xml:space="preserve"> (95% OF EX-Mumbai Price Taken)</t>
  </si>
  <si>
    <t>Repair &amp; Maintenance (1.5 Percent of Capex)</t>
  </si>
  <si>
    <t>Capacity for 500 KTPA PVC Unit with external EDC / VCM Facility</t>
  </si>
  <si>
    <t>Equipment List PVC 350 KTPA</t>
  </si>
  <si>
    <t>Delivered main equipment (includes auxiliary equipment) (Considered EDC / VCM Import Facility)</t>
  </si>
  <si>
    <t>Cooling Water Facility</t>
  </si>
  <si>
    <t>Annual Sales Revenue @ 100 Percent Capacity Utilization : OPTION 1</t>
  </si>
  <si>
    <t>Annual Sales Revenue @ 100 Percent Capacity Utilization : OPTION 2</t>
  </si>
  <si>
    <t>Flare System</t>
  </si>
  <si>
    <t xml:space="preserve">Coproducts for High Propane Case: </t>
  </si>
  <si>
    <t>Project Sensitivity</t>
  </si>
  <si>
    <t>Break-Even Point</t>
  </si>
  <si>
    <t>Selling Price decreases by 11%, Raw Material Price remains same</t>
  </si>
  <si>
    <t>Increase in Raw Material price by 16.5 % with no change in selling price</t>
  </si>
  <si>
    <t>Increase in raw material price by 9 % with decrease in selling price by 5%</t>
  </si>
  <si>
    <t>Increase in Cost of Production by 14.5% with no change in selling price</t>
  </si>
  <si>
    <t>Project Sensitivity Analysis</t>
  </si>
  <si>
    <t>Total Opex</t>
  </si>
  <si>
    <t>Total (a+b)</t>
  </si>
  <si>
    <t>(c) Interest on Term Loan</t>
  </si>
  <si>
    <t>(d) Term Loan Instalment</t>
  </si>
  <si>
    <t>Total (c+d)</t>
  </si>
  <si>
    <t>DSCR</t>
  </si>
  <si>
    <t xml:space="preserve">Capacity for 350 KTPA PVC Unit </t>
  </si>
  <si>
    <t>12.The report basis, financial analyses and recommendations are based on conventional mode of execution.</t>
  </si>
  <si>
    <t>2. Capacity Build Up = 1sr Year : 70 % 2nd Year : 90% and 3rd Year : 100%</t>
  </si>
  <si>
    <t xml:space="preserve">      - Accounts Receivables will be taken as of 60 Days.</t>
  </si>
  <si>
    <t xml:space="preserve">      - Accounts Payables will be taken as of 60 Days.</t>
  </si>
  <si>
    <t xml:space="preserve">      - Inventory will be taken as of 30 Days.</t>
  </si>
  <si>
    <t>13. Feed and Ethylene prices as provided by OPaL</t>
  </si>
  <si>
    <t>14. Byproduct to be priced as follows: The weighted average price  the ratio they are present in the stream</t>
  </si>
  <si>
    <t>15. Cost of Capital will be assumed as 10%</t>
  </si>
  <si>
    <t>16. Tax rate will be assumed  as 25%</t>
  </si>
  <si>
    <t>17. Amortization will be presumed to be in next 10 years on equal basis.</t>
  </si>
  <si>
    <t>18. Capacity will be Installed in one Phase</t>
  </si>
  <si>
    <t>19. Operating Revenue will be  bifurcated between :-</t>
  </si>
  <si>
    <t>Cooling Water Facility (3000 cubic meter * 2)</t>
  </si>
  <si>
    <t>Open Jetty Facility for Ethylene, EDC and VCM Import</t>
  </si>
  <si>
    <t>Research and development costs</t>
  </si>
  <si>
    <t>Per MT Margin</t>
  </si>
  <si>
    <t>Margin %</t>
  </si>
  <si>
    <t>Selling Price per MT of PVC</t>
  </si>
  <si>
    <t>Cost per MT of PVC</t>
  </si>
  <si>
    <t>Unit Margin</t>
  </si>
  <si>
    <t>Gross Margin (EBITDA/PBITDA)</t>
  </si>
  <si>
    <t xml:space="preserve">Research and development costs </t>
  </si>
  <si>
    <t>Basis</t>
  </si>
  <si>
    <t>Inflation (after adjustment of dollar appreciation)</t>
  </si>
  <si>
    <t>Payback Period after project completion (Simple)</t>
  </si>
  <si>
    <t>Payback Period after project completion (Discounted)</t>
  </si>
  <si>
    <t>Simple</t>
  </si>
  <si>
    <t>Discounted</t>
  </si>
  <si>
    <t>Simple Factor</t>
  </si>
  <si>
    <t>Discounted Factor</t>
  </si>
  <si>
    <t>84 Months Average</t>
  </si>
  <si>
    <t xml:space="preserve"> 1,3 Butadiene </t>
  </si>
  <si>
    <t>LLDPE OPaL Price</t>
  </si>
  <si>
    <t>HDPE OPaL Price</t>
  </si>
  <si>
    <t>PP OPaL Price</t>
  </si>
  <si>
    <t>ASU Facility (Oxygen and Nitrogen Facility)</t>
  </si>
  <si>
    <t>Other OSBL Facilities, Chlorine Pipeline and Storage Facility, Slurry Tank, PVC Bagging Facility)</t>
  </si>
  <si>
    <t xml:space="preserve">1. Oxychlorination comprises of two identical units each with a capacity of 7,500 normal cubic meters per hour of oxygen and 7,500 normal cubic meters per hour of nitrogen. The two unit will be built on a piece of land covering an area of 1 hectare. </t>
  </si>
  <si>
    <t>2 PVC manufacturing includes both Suspension PVC and  Emulsion PVC type. Earlier one is batch process having 100 m3 reactors; later one is continuous process with 30 m3 reactor</t>
  </si>
  <si>
    <t>3. PVC material from finished product silo is measured and bagged into 25 kg /bag by quantitative automatic packaging machine. After packaging, the packed PVC will be transported to PVC warehouse by forklift.</t>
  </si>
  <si>
    <t>5. 8-10 inch pipeline will be employed for transfer o EDC / VCM from ship. Two mass flow meters one at Jetty end one at tank end will be provided for mass measurement and input to leak detection system. The motorized operated valve shall be provided at jetty for emergency shut down operation in case of leak.</t>
  </si>
  <si>
    <t>4.EDC consignment in the range of 5500 – 11000 m3 of pressurized vessel shall be unloaded from ship with the help of unloading pumps through one no of 8-inch marine unloading arm and shall be transferred to proposed storage bullets.</t>
  </si>
  <si>
    <t xml:space="preserve">20. Utilities: Based on major utility consumptions calculated on the basis as described under the Investment basis. </t>
  </si>
  <si>
    <t xml:space="preserve">Impact on changes in Capital Expenditures, Operating Costs, Sales, capacity utilization, has been carried out on the economic analysis and accordingly its sensitivity on the parameters listed below is also carried out. </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</si>
  <si>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Propane furnace expansion in DFCU @ 8500hrs Operation. To calculate the data for last 84 montths, TechSci estimated the cost of production by considering benchmark feed prices.
4. Ethylene and Propylene are Co-products, whereas, Benzene, butadiene,CBFS,C9+, 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The utility requirement for all the configuration of the proposed complex assuming 100% captive generation was prepared and discussed with OPaL.
7. Feedstock prices are “delivered prices at refinery gate” and product prices are “OPaL Net back prices”.
</t>
  </si>
  <si>
    <t>Tentative Requirement for 350 KTPA PVC Plant</t>
  </si>
  <si>
    <t xml:space="preserve">Unit </t>
  </si>
  <si>
    <t>Qunantity</t>
  </si>
  <si>
    <t>1. Ethylene Requirement</t>
  </si>
  <si>
    <t>2. Chlorine</t>
  </si>
  <si>
    <t>3. Oxygen Requirement</t>
  </si>
  <si>
    <t>4. VCM Plant</t>
  </si>
  <si>
    <t>5. PVC Plant</t>
  </si>
  <si>
    <t>6. PVC Bagging and PWH</t>
  </si>
  <si>
    <t>7. DM Plant for PVC</t>
  </si>
  <si>
    <t>8. EDC Tanks</t>
  </si>
  <si>
    <t>9. VCM Spheres</t>
  </si>
  <si>
    <t>10. EDC bottom / heavier to dispose Incinerator</t>
  </si>
  <si>
    <t>T/Hr</t>
  </si>
  <si>
    <t xml:space="preserve"> KT</t>
  </si>
  <si>
    <t>KT</t>
  </si>
  <si>
    <t xml:space="preserve">11. Chlorine pipeline from nearby industry </t>
  </si>
  <si>
    <t>KM</t>
  </si>
  <si>
    <t>5000 m3</t>
  </si>
  <si>
    <t>Cubic Meter / day</t>
  </si>
  <si>
    <t xml:space="preserve">10000 tonnes </t>
  </si>
  <si>
    <t>Distribution and selling costs (2.5% of sales value)</t>
  </si>
  <si>
    <t>Distribution and selling costs (2.5% of selling cost)</t>
  </si>
  <si>
    <t>Break Even Point (at optimum capacity utilization)</t>
  </si>
  <si>
    <t>Year of Operation</t>
  </si>
  <si>
    <t>Total  Cost of Sales</t>
  </si>
  <si>
    <t>Gross Profit</t>
  </si>
  <si>
    <t>Cumulative Cash Flow</t>
  </si>
  <si>
    <t>4. Contingency in capex = 5 %</t>
  </si>
  <si>
    <t>500 KTPA Unit - Break Even Point at Optimum Capacity Utilization (4th Year)</t>
  </si>
  <si>
    <t>350 KTPA Break Even Unit at Optimum Capacity Utilization (4th Year)</t>
  </si>
  <si>
    <t>Raw material and Catalyst &amp; Chemicals</t>
  </si>
  <si>
    <t>(-)Depreciation</t>
  </si>
  <si>
    <t>Profit Before Tax</t>
  </si>
  <si>
    <t>Projections of Performance, Profitability and Repayment : 350 KTPA Capacity</t>
  </si>
  <si>
    <t>Batch Reactors (6 * 120 m3)  and Continuous Reactor (3*30m3)</t>
  </si>
  <si>
    <t>Others including OSBL Facilities, Chlorine Pipeline and Storage Facility, Slurry Tank, PVC Bagging Facility</t>
  </si>
  <si>
    <t>c</t>
  </si>
  <si>
    <t>Net Balace</t>
  </si>
  <si>
    <t>Phenol</t>
  </si>
  <si>
    <t>Acetone</t>
  </si>
  <si>
    <t>This Scenario is for the captive production of the Cumene. Prices considered is for the 7 year average price of South Korea Market</t>
  </si>
  <si>
    <t>* Cost of Capital will be assumed as 10%</t>
  </si>
  <si>
    <t>*Amortization will be presumed to be in next 10 years on equal basis.</t>
  </si>
  <si>
    <t>* Operating Revenue will be  bifurcated between :-</t>
  </si>
  <si>
    <t>Year of operation</t>
  </si>
  <si>
    <t>Operating Rate</t>
  </si>
  <si>
    <t>Raw Material &amp; Catchem</t>
  </si>
  <si>
    <t xml:space="preserve">NPV </t>
  </si>
  <si>
    <t>Payback Period (Simple)</t>
  </si>
  <si>
    <t>Payback Period (Discounted)</t>
  </si>
  <si>
    <t>*Taxes rate will be assumed  as 30%</t>
  </si>
  <si>
    <t>100 % Installation in 1st year of production</t>
  </si>
  <si>
    <t>*Inventory will be taken as of 30 Days.</t>
  </si>
  <si>
    <t>Inflation
 (after adjustment of dollar appreciation)</t>
  </si>
  <si>
    <t>Interest on Term Loan</t>
  </si>
  <si>
    <t>Means of Finance (500 KTPA)</t>
  </si>
  <si>
    <t>Means of Finance (350 KTPA)</t>
  </si>
  <si>
    <t>Interest Calculation on Loan and Working Capital  (INR Crore) - 350 KTPA</t>
  </si>
  <si>
    <t>Interest Calculation on Loan and Working Capital  (INR Crore) - 500 KTPA</t>
  </si>
  <si>
    <t>Unit Margin PVC</t>
  </si>
  <si>
    <t xml:space="preserve">Selling Price per MT of Phenol </t>
  </si>
  <si>
    <t>Selling Price per MT of Acetone</t>
  </si>
  <si>
    <t>Opion 1 - Capacity for 200 KTPA Phenol + 120 KTPA Acetone</t>
  </si>
  <si>
    <t>ITEM</t>
  </si>
  <si>
    <t>C</t>
  </si>
  <si>
    <t>C1</t>
  </si>
  <si>
    <t>Raw materials and Catchem</t>
  </si>
  <si>
    <t>D</t>
  </si>
  <si>
    <t>Research and development costs (1.5% of manufacturing cost)</t>
  </si>
  <si>
    <t>Cost per MT of Phenol &amp; Acetone</t>
  </si>
  <si>
    <t>Unit Margin Phenol &amp; Acetone</t>
  </si>
  <si>
    <t>Open Jetty Facility for EDC and VCM Import</t>
  </si>
  <si>
    <t>VCM</t>
  </si>
  <si>
    <t>Raw Material, Catalyst &amp; Chemicals</t>
  </si>
  <si>
    <t>Capacity for 350 KTPA PVC Plant using Captive Ethylene</t>
  </si>
  <si>
    <t>Profit After Tax (at optimum capacity utilization)</t>
  </si>
  <si>
    <t>Percentage Change</t>
  </si>
  <si>
    <t>Nil</t>
  </si>
  <si>
    <t>Capacity for 350 KTPA PVC Plant using Captive Ethylene : Break Even Point at Optimum Capacity Utilisation (4th Year)</t>
  </si>
  <si>
    <t>Capacity for 500 KTPA PVC Plant (350 KTPA 150 KTPA EDC Outsourced) : Break Even Point at Optimum Capacity Utilisation (4th Year)</t>
  </si>
  <si>
    <t xml:space="preserve">Capex (In INR Crore) </t>
  </si>
  <si>
    <t>Propane Furnace Addition</t>
  </si>
  <si>
    <t>OPaL Current Production</t>
  </si>
  <si>
    <t>Additional Requirement for PVC and Phenol Production</t>
  </si>
  <si>
    <t>Yield per MT of feed (Base Case)</t>
  </si>
  <si>
    <t>Production KT</t>
  </si>
  <si>
    <t>After Propane Furnace Addition</t>
  </si>
  <si>
    <t>Change w.r.t Base case</t>
  </si>
  <si>
    <t>Percentage Change w.r.t. Base case</t>
  </si>
  <si>
    <t>Surplus (Deficit)</t>
  </si>
  <si>
    <t>Plant Overhead and Administrative Costs (7.5% of  10 + 15)</t>
  </si>
  <si>
    <t>Plant Overhead and Administrative Costs (7.5% of  33 + 38)</t>
  </si>
  <si>
    <t>Plant Overhead and Administrative Costs (7.5% of  52+ 58)</t>
  </si>
  <si>
    <t>Plant Overhead and Administrative Costs (7.5% of  74 + 78)</t>
  </si>
  <si>
    <t>Net Margin Change for Existing Products with available ethylene and Propylene post PVC and Phenol Projects</t>
  </si>
  <si>
    <t>Ethylene for PVC KTA</t>
  </si>
  <si>
    <t>Propylene For Phenol KTA</t>
  </si>
  <si>
    <t>LLDPE MT from available ethylene</t>
  </si>
  <si>
    <t>HDPE MT from available ethylene</t>
  </si>
  <si>
    <t>PP MT from available Propylene</t>
  </si>
  <si>
    <t>Net revenue gain over basecase from existing Products</t>
  </si>
  <si>
    <t>Monthly Feed (Base Case@8000hrs Operations)**</t>
  </si>
  <si>
    <t>FEED PRICES</t>
  </si>
  <si>
    <t>High Propane Case</t>
  </si>
  <si>
    <t>Ethylene Cost of Production based on Byproducts</t>
  </si>
  <si>
    <t>Propylene Cost of Production based on Byproducts</t>
  </si>
  <si>
    <t>LLDPE Cost of Production</t>
  </si>
  <si>
    <t>Raw materials</t>
  </si>
  <si>
    <t>Cat-Chem+ additive</t>
  </si>
  <si>
    <t>Co-product/Byprodcut Credit</t>
  </si>
  <si>
    <t>Contribution Per MT INR</t>
  </si>
  <si>
    <t>HDPE  Cost of Production</t>
  </si>
  <si>
    <t>PP Cost of Production</t>
  </si>
  <si>
    <t>Base Case</t>
  </si>
  <si>
    <t>Total Revenue for Existing Products INR Crores/Yr (excluding PVC/Phenol)</t>
  </si>
  <si>
    <t>Net Change in revenue for Existing Products (excluding PVC/Phenol) INR Crores / yr</t>
  </si>
  <si>
    <t>Acetone - Contracted</t>
  </si>
  <si>
    <t>Average Revenue Considered for Acetone</t>
  </si>
  <si>
    <t>Phenol - Contracted</t>
  </si>
  <si>
    <t>Average Revenue Considered for Phenol</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</si>
  <si>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Propane furnace expansion in DFCU @ 8500hrs Operation. To calculate the data for last 72 montths, TechSci estimated the cost of production by considering benchmark feed prices.
4. **Ethylene and Propylene are Co-products, whereas, Benzene, butadiene,CBFS,C9+,HPG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TechSci also referred benchmark price for Benzene (FOB Korea), 93-95% weight Propylene and Naphtha (Arab Gulf)
</t>
  </si>
  <si>
    <t xml:space="preserve">7. Plant Air prices are considered same as instrument air price.
</t>
  </si>
  <si>
    <t>8. The utility requirement for all the configuration of the proposed complex assuming 100% captive generation was prepared and discussed with OPaL</t>
  </si>
  <si>
    <t>Capacity for 350 KTPA PVC Resin and 200 KTPA Phenol + 123 KTPA Acetone</t>
  </si>
  <si>
    <t xml:space="preserve">Cases Evaluated </t>
  </si>
  <si>
    <t>Option 1 : Capacity for 350 KTPA PVC Plant using Captive Ethylene</t>
  </si>
  <si>
    <t>Option 3 : Capacity for 500 KTPA  EDC / VCM to PVC Plant (EDC / VCM Outsourced)</t>
  </si>
  <si>
    <t>Option 2 : Capacity for 500 KTPA PVC Plant (350 KTPA from captive ethylene &amp; 150 KTPA EDC / VCM Outsourced)</t>
  </si>
  <si>
    <t>Option 4 : Combined Capacity for 350 KTPA PVC Resin and 200 KTPA Phenol + 123 KTPA Acetone Plant (Propane Furnance Additional)</t>
  </si>
  <si>
    <t>Capacity for 500 KTPA PVC Plant (350 KTPA from captive Ethylene and 150 KTPA EDC / VCM Outsourced)</t>
  </si>
  <si>
    <t>Capacity for 500 KTPA PVC Resin (EDC / VCM to PVC Plant (EDC / VCM Outsourced)</t>
  </si>
  <si>
    <t>Scenarios</t>
  </si>
  <si>
    <t>Option 2 : Capacity for 200 KTPA Phenol + 123 KTPA Acetone, (with available propylene and benzene)  (80 % phenol plant - DFCU operation ( base case ) considered for 8500 Hrs. operation)</t>
  </si>
  <si>
    <t>Quantity in Tonne</t>
  </si>
  <si>
    <t>Price / Kg (INR Per Tonne)</t>
  </si>
  <si>
    <t>Others</t>
  </si>
  <si>
    <t>Catalyst &amp; Chemical</t>
  </si>
  <si>
    <t>Caustic Soda</t>
  </si>
  <si>
    <t>Sulphuric Acid</t>
  </si>
  <si>
    <t>MSHP Catalyst</t>
  </si>
  <si>
    <t>Nickel Fixed Bed Catalyst</t>
  </si>
  <si>
    <t>Activated Carbon</t>
  </si>
  <si>
    <t>AMS Hydrogenation Catalyst</t>
  </si>
  <si>
    <t>ADSORBENT AZ-300 5X8 </t>
  </si>
  <si>
    <t>INR Per Tonne</t>
  </si>
  <si>
    <t>Capacity for 350 KTPA PVC Resin and 200 KTPA Phenol + 123 KTPA Acetone Current Price</t>
  </si>
  <si>
    <t>Projections of Performance, Profitability and Repayment : 350 KTPA Capacity Current Case</t>
  </si>
  <si>
    <t>350 KTPA Capacity Current Case : Break Even Point at Optimum Capacity Utilisation</t>
  </si>
  <si>
    <t>Project Sensitivity Analysis: Option 1 (350 KTPA Capacity)</t>
  </si>
  <si>
    <t>Means of Finance (PVC+Phenol)</t>
  </si>
  <si>
    <t>Interest Calculation on Loan and Working Capital  (INR Crore) - PVC+Phenol</t>
  </si>
  <si>
    <t>m</t>
  </si>
  <si>
    <t>Capex</t>
  </si>
  <si>
    <t>INR Cr</t>
  </si>
  <si>
    <t>Opex</t>
  </si>
  <si>
    <t>Annual COP</t>
  </si>
  <si>
    <t>Total Variable Cost</t>
  </si>
  <si>
    <t>Total Investment</t>
  </si>
  <si>
    <t>Payback (Yrs)</t>
  </si>
  <si>
    <t>Financials</t>
  </si>
  <si>
    <t>Propane Furnace Adition</t>
  </si>
  <si>
    <t>Capex PVC Option 1</t>
  </si>
  <si>
    <t>Capex Phenol Option 1</t>
  </si>
  <si>
    <t>Scenario 1,2 &amp; 3</t>
  </si>
  <si>
    <t>Total Capital Investment</t>
  </si>
  <si>
    <t>Annual Cost of Production</t>
  </si>
  <si>
    <t xml:space="preserve"> Select Financial Year</t>
  </si>
  <si>
    <t>Projections of Performance, Profitability and Repayment : Option 4</t>
  </si>
  <si>
    <t xml:space="preserve">After Ethane Furnace Addition </t>
  </si>
  <si>
    <t>480 KTPA Ethane Import</t>
  </si>
  <si>
    <t>Quantity (KTPA)</t>
  </si>
  <si>
    <t>Additional 385 KTPA C3</t>
  </si>
  <si>
    <t xml:space="preserve">Coproducts for High Ethane Case: </t>
  </si>
  <si>
    <t>Ethane Furnace Addition</t>
  </si>
  <si>
    <t xml:space="preserve">High Ethane Case </t>
  </si>
  <si>
    <t>Margin (%)</t>
  </si>
  <si>
    <t>If OPaL goes with a high propane case, it will incur the surplus revenue of 849 INR Crore compared to a high ethane case incurring a net loss of 315 INR Crore w.r.t. base case.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</si>
</sst>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 #,##0.00_ ;_ * \-#,##0.00_ ;_ * &quot;-&quot;??_ ;_ @_ "/>
    <numFmt numFmtId="164" formatCode="_(* #,##0.00_);_(* \(#,##0.00\);_(* &quot;-&quot;??_);_(@_)"/>
    <numFmt numFmtId="165" formatCode="_(* #,##0_);_(* \(#,##0\);_(* &quot;-&quot;??_);_(@_)"/>
    <numFmt numFmtId="166" formatCode="_ * #,##0_ ;_ * \-#,##0_ ;_ * &quot;-&quot;??_ ;_ @_ "/>
    <numFmt numFmtId="167" formatCode="0.0"/>
    <numFmt numFmtId="168" formatCode="0.000"/>
    <numFmt numFmtId="169" formatCode="#,##0.000"/>
    <numFmt numFmtId="170" formatCode="0.0%"/>
    <numFmt numFmtId="171" formatCode="_(* #,##0_);_(* \(#,##0\);_(* &quot;-&quot;_);@_)"/>
    <numFmt numFmtId="172" formatCode="0%_);\(0%\)"/>
    <numFmt numFmtId="173" formatCode="0.0000"/>
    <numFmt numFmtId="174" formatCode="_(* #,##0.0000_);_(* \(#,##0.0000\);_(* &quot;-&quot;_);@_)"/>
    <numFmt numFmtId="175" formatCode="_(* #,##0.00_);_(* \(#,##0.00\);_(* &quot;-&quot;_);@_)"/>
    <numFmt numFmtId="176" formatCode="_(* #,##0.0_);_(* \(#,##0.0\);_(* &quot;-&quot;_);@_)"/>
    <numFmt numFmtId="177" formatCode="_(* #,##0.00000_);_(* \(#,##0.00000\);_(* &quot;-&quot;_);@_)"/>
    <numFmt numFmtId="178" formatCode="_(* #,##0.000_);_(* \(#,##0.000\);_(* &quot;-&quot;_);@_)"/>
    <numFmt numFmtId="179" formatCode="_(* #,##0.0000_);_(* \(#,##0.0000\);_(* &quot;-&quot;??_);_(@_)"/>
    <numFmt numFmtId="180" formatCode="0.000%"/>
  </numFmts>
  <fonts count="74">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sz val="10"/>
      <name val="Arial"/>
      <family val="2"/>
    </font>
    <font>
      <sz val="11"/>
      <color theme="0"/>
      <name val="Calibri"/>
      <family val="2"/>
      <scheme val="minor"/>
    </font>
    <font>
      <u/>
      <sz val="11"/>
      <color theme="10"/>
      <name val="Calibri"/>
      <family val="2"/>
      <scheme val="minor"/>
    </font>
    <font>
      <b/>
      <sz val="10"/>
      <name val="Arial"/>
      <family val="2"/>
    </font>
    <font>
      <b/>
      <sz val="10"/>
      <color rgb="FF000000"/>
      <name val="Arial"/>
      <family val="2"/>
    </font>
    <font>
      <sz val="10"/>
      <color rgb="FF000000"/>
      <name val="Arial"/>
      <family val="2"/>
    </font>
    <font>
      <b/>
      <sz val="10"/>
      <color theme="1"/>
      <name val="Arial"/>
      <family val="2"/>
    </font>
    <font>
      <b/>
      <sz val="10"/>
      <color theme="0"/>
      <name val="Arial"/>
      <family val="2"/>
    </font>
    <font>
      <sz val="9"/>
      <color theme="1"/>
      <name val="Palladio Uralic"/>
    </font>
    <font>
      <sz val="9"/>
      <color theme="1"/>
      <name val="Calibri"/>
      <family val="2"/>
      <scheme val="minor"/>
    </font>
    <font>
      <b/>
      <sz val="11"/>
      <color theme="3"/>
      <name val="Calibri Light"/>
      <family val="2"/>
      <scheme val="major"/>
    </font>
    <font>
      <b/>
      <sz val="9"/>
      <color theme="3"/>
      <name val="Arial"/>
      <family val="2"/>
    </font>
    <font>
      <b/>
      <sz val="9"/>
      <color theme="3"/>
      <name val="Calibri Light"/>
      <family val="2"/>
      <scheme val="major"/>
    </font>
    <font>
      <sz val="9"/>
      <color theme="3"/>
      <name val="Calibri Light"/>
      <family val="2"/>
      <scheme val="major"/>
    </font>
    <font>
      <sz val="9"/>
      <color rgb="FF006100"/>
      <name val="Arial"/>
      <family val="2"/>
    </font>
    <font>
      <sz val="9"/>
      <color rgb="FF9C0006"/>
      <name val="Arial"/>
      <family val="2"/>
    </font>
    <font>
      <sz val="9"/>
      <color rgb="FF9C6500"/>
      <name val="Arial"/>
      <family val="2"/>
    </font>
    <font>
      <sz val="9"/>
      <color rgb="FF3F3F76"/>
      <name val="Calibri"/>
      <family val="2"/>
      <scheme val="minor"/>
    </font>
    <font>
      <b/>
      <sz val="9"/>
      <color rgb="FF3F3F3F"/>
      <name val="Calibri"/>
      <family val="2"/>
      <scheme val="minor"/>
    </font>
    <font>
      <b/>
      <sz val="9"/>
      <color rgb="FFFA7D00"/>
      <name val="Arial"/>
      <family val="2"/>
    </font>
    <font>
      <sz val="9"/>
      <color rgb="FFFA7D00"/>
      <name val="Calibri"/>
      <family val="2"/>
      <scheme val="minor"/>
    </font>
    <font>
      <b/>
      <sz val="9"/>
      <color theme="0"/>
      <name val="Calibri"/>
      <family val="2"/>
      <scheme val="minor"/>
    </font>
    <font>
      <i/>
      <sz val="9"/>
      <color rgb="FF7F7F7F"/>
      <name val="Calibri"/>
      <family val="2"/>
      <scheme val="minor"/>
    </font>
    <font>
      <b/>
      <sz val="9"/>
      <color theme="1"/>
      <name val="Calibri Light"/>
      <family val="2"/>
      <scheme val="major"/>
    </font>
    <font>
      <b/>
      <sz val="9"/>
      <color theme="4"/>
      <name val="Calibri"/>
      <family val="2"/>
      <scheme val="minor"/>
    </font>
    <font>
      <sz val="8"/>
      <color theme="1"/>
      <name val="Calibri"/>
      <family val="2"/>
      <scheme val="minor"/>
    </font>
    <font>
      <b/>
      <sz val="9"/>
      <color theme="1"/>
      <name val="Calibri"/>
      <family val="2"/>
      <scheme val="minor"/>
    </font>
    <font>
      <b/>
      <sz val="11"/>
      <color theme="4"/>
      <name val="Calibri"/>
      <family val="2"/>
      <scheme val="minor"/>
    </font>
    <font>
      <u/>
      <sz val="8.8000000000000007"/>
      <color theme="10"/>
      <name val="Calibri"/>
      <family val="2"/>
    </font>
    <font>
      <sz val="8"/>
      <color theme="1"/>
      <name val="Arial"/>
      <family val="2"/>
    </font>
    <font>
      <sz val="12"/>
      <color theme="1"/>
      <name val="Calibri"/>
      <family val="2"/>
      <scheme val="minor"/>
    </font>
    <font>
      <sz val="11"/>
      <name val="Arial"/>
      <family val="2"/>
    </font>
    <font>
      <sz val="10"/>
      <name val="Times New Roman"/>
      <family val="1"/>
      <charset val="204"/>
    </font>
    <font>
      <b/>
      <sz val="10"/>
      <color rgb="FFFF0000"/>
      <name val="Arial"/>
      <family val="2"/>
    </font>
    <font>
      <sz val="10"/>
      <color theme="1"/>
      <name val="Times New Roman"/>
      <family val="1"/>
    </font>
    <font>
      <b/>
      <u/>
      <sz val="10"/>
      <color rgb="FF000000"/>
      <name val="Calibri"/>
      <family val="2"/>
    </font>
    <font>
      <b/>
      <sz val="10"/>
      <color rgb="FF000000"/>
      <name val="Calibri"/>
      <family val="2"/>
    </font>
    <font>
      <b/>
      <u/>
      <sz val="10"/>
      <color theme="1"/>
      <name val="Arial"/>
      <family val="2"/>
    </font>
    <font>
      <sz val="10"/>
      <color rgb="FF000000"/>
      <name val="Arial"/>
      <family val="2"/>
    </font>
    <font>
      <b/>
      <sz val="11"/>
      <color theme="1"/>
      <name val="Arial"/>
      <family val="2"/>
    </font>
    <font>
      <sz val="11"/>
      <color rgb="FF000000"/>
      <name val="Arial"/>
      <family val="2"/>
    </font>
    <font>
      <sz val="12"/>
      <name val="Times New Roman"/>
      <family val="1"/>
    </font>
    <font>
      <b/>
      <sz val="12"/>
      <name val="Times New Roman"/>
      <family val="1"/>
    </font>
    <font>
      <sz val="10"/>
      <color indexed="10"/>
      <name val="Arial"/>
      <family val="2"/>
    </font>
    <font>
      <sz val="12"/>
      <color indexed="10"/>
      <name val="Times New Roman"/>
      <family val="1"/>
    </font>
    <font>
      <sz val="11"/>
      <name val="Times New Roman"/>
      <family val="1"/>
    </font>
    <font>
      <b/>
      <i/>
      <sz val="10"/>
      <name val="Arial"/>
      <family val="2"/>
    </font>
    <font>
      <sz val="9"/>
      <color theme="1"/>
      <name val="Arial"/>
      <family val="2"/>
    </font>
    <font>
      <b/>
      <sz val="9"/>
      <color theme="1"/>
      <name val="Arial"/>
      <family val="2"/>
    </font>
    <font>
      <sz val="9"/>
      <color theme="0" tint="-0.249977111117893"/>
      <name val="Arial"/>
      <family val="2"/>
    </font>
    <font>
      <b/>
      <sz val="8"/>
      <color theme="1"/>
      <name val="Arial"/>
      <family val="2"/>
    </font>
    <font>
      <b/>
      <sz val="9"/>
      <color rgb="FF000000"/>
      <name val="Arial"/>
      <family val="2"/>
    </font>
    <font>
      <sz val="9"/>
      <color rgb="FF000000"/>
      <name val="Arial"/>
      <family val="2"/>
    </font>
    <font>
      <sz val="9"/>
      <name val="Arial"/>
      <family val="2"/>
    </font>
    <font>
      <b/>
      <sz val="11"/>
      <color theme="0"/>
      <name val="Calibri"/>
      <family val="2"/>
      <scheme val="minor"/>
    </font>
    <font>
      <sz val="11"/>
      <name val="Calibri"/>
      <family val="2"/>
      <scheme val="minor"/>
    </font>
    <font>
      <b/>
      <sz val="11"/>
      <name val="Arial"/>
      <family val="2"/>
    </font>
    <font>
      <b/>
      <sz val="14"/>
      <color theme="3" tint="0.59999389629810485"/>
      <name val="Calibri"/>
      <family val="2"/>
      <scheme val="minor"/>
    </font>
    <font>
      <sz val="10"/>
      <color theme="0"/>
      <name val="Arial"/>
      <family val="2"/>
    </font>
    <font>
      <b/>
      <sz val="14"/>
      <color theme="0"/>
      <name val="Calibri"/>
      <family val="2"/>
      <scheme val="minor"/>
    </font>
    <font>
      <b/>
      <sz val="18"/>
      <name val="Calibri"/>
      <family val="2"/>
      <scheme val="minor"/>
    </font>
    <font>
      <b/>
      <sz val="12.5"/>
      <color theme="0"/>
      <name val="Calibri"/>
      <family val="2"/>
      <scheme val="minor"/>
    </font>
    <font>
      <sz val="8"/>
      <color rgb="FFFF0000"/>
      <name val="Arial"/>
      <family val="2"/>
    </font>
    <font>
      <b/>
      <sz val="10"/>
      <color theme="4"/>
      <name val="Arial"/>
      <family val="2"/>
    </font>
    <font>
      <sz val="10"/>
      <color theme="4"/>
      <name val="Arial"/>
      <family val="2"/>
    </font>
    <font>
      <b/>
      <sz val="8"/>
      <color theme="4"/>
      <name val="Arial"/>
      <family val="2"/>
    </font>
    <font>
      <sz val="8"/>
      <color theme="4"/>
      <name val="Arial"/>
      <family val="2"/>
    </font>
    <font>
      <sz val="10"/>
      <color theme="1"/>
      <name val=" Arial "/>
    </font>
    <font>
      <b/>
      <sz val="10"/>
      <color theme="1"/>
      <name val=" Arial "/>
    </font>
    <font>
      <sz val="10"/>
      <name val=" Arial "/>
    </font>
  </fonts>
  <fills count="35">
    <fill>
      <patternFill patternType="none"/>
    </fill>
    <fill>
      <patternFill patternType="gray125"/>
    </fill>
    <fill>
      <patternFill patternType="solid">
        <fgColor theme="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rgb="FFFCD4B6"/>
        <bgColor indexed="64"/>
      </patternFill>
    </fill>
    <fill>
      <patternFill patternType="solid">
        <fgColor rgb="FFE8E6DF"/>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indexed="43"/>
        <bgColor indexed="64"/>
      </patternFill>
    </fill>
    <fill>
      <patternFill patternType="solid">
        <fgColor theme="2"/>
        <bgColor indexed="64"/>
      </patternFill>
    </fill>
    <fill>
      <patternFill patternType="solid">
        <fgColor theme="5" tint="0.79998168889431442"/>
        <bgColor indexed="64"/>
      </patternFill>
    </fill>
    <fill>
      <patternFill patternType="solid">
        <fgColor rgb="FFDEDEDE"/>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4"/>
        <bgColor indexed="64"/>
      </patternFill>
    </fill>
    <fill>
      <patternFill patternType="solid">
        <fgColor theme="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002060"/>
        <bgColor indexed="64"/>
      </patternFill>
    </fill>
  </fills>
  <borders count="35">
    <border>
      <left/>
      <right/>
      <top/>
      <bottom/>
      <diagonal/>
    </border>
    <border>
      <left/>
      <right/>
      <top/>
      <bottom style="thin">
        <color auto="1"/>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medium">
        <color indexed="64"/>
      </right>
      <top/>
      <bottom style="medium">
        <color indexed="64"/>
      </bottom>
      <diagonal/>
    </border>
    <border>
      <left style="thin">
        <color indexed="64"/>
      </left>
      <right style="thin">
        <color indexed="64"/>
      </right>
      <top/>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thin">
        <color theme="4"/>
      </bottom>
      <diagonal/>
    </border>
    <border>
      <left/>
      <right/>
      <top style="thin">
        <color theme="4"/>
      </top>
      <bottom style="medium">
        <color theme="4"/>
      </bottom>
      <diagonal/>
    </border>
    <border>
      <left/>
      <right/>
      <top style="thin">
        <color theme="4"/>
      </top>
      <bottom/>
      <diagonal/>
    </border>
    <border>
      <left/>
      <right/>
      <top style="medium">
        <color theme="4"/>
      </top>
      <bottom/>
      <diagonal/>
    </border>
    <border>
      <left/>
      <right style="thin">
        <color indexed="64"/>
      </right>
      <top/>
      <bottom/>
      <diagonal/>
    </border>
    <border>
      <left style="thin">
        <color indexed="64"/>
      </left>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medium">
        <color indexed="64"/>
      </top>
      <bottom/>
      <diagonal/>
    </border>
    <border>
      <left/>
      <right style="medium">
        <color indexed="64"/>
      </right>
      <top/>
      <bottom/>
      <diagonal/>
    </border>
  </borders>
  <cellStyleXfs count="53">
    <xf numFmtId="0" fontId="0" fillId="0" borderId="0"/>
    <xf numFmtId="164" fontId="1" fillId="0" borderId="0" applyFont="0" applyFill="0" applyBorder="0" applyAlignment="0" applyProtection="0"/>
    <xf numFmtId="0" fontId="1" fillId="0" borderId="0"/>
    <xf numFmtId="9" fontId="1" fillId="0" borderId="0" applyFont="0" applyFill="0" applyBorder="0" applyAlignment="0" applyProtection="0"/>
    <xf numFmtId="0" fontId="5" fillId="2" borderId="0" applyNumberFormat="0" applyBorder="0" applyAlignment="0" applyProtection="0"/>
    <xf numFmtId="0" fontId="6" fillId="0" borderId="0" applyNumberFormat="0" applyFill="0" applyBorder="0" applyAlignment="0" applyProtection="0"/>
    <xf numFmtId="164" fontId="1" fillId="0" borderId="0" applyFont="0" applyFill="0" applyBorder="0" applyAlignment="0" applyProtection="0"/>
    <xf numFmtId="0" fontId="1" fillId="0" borderId="0"/>
    <xf numFmtId="171" fontId="13" fillId="0" borderId="0"/>
    <xf numFmtId="0" fontId="19" fillId="7" borderId="0" applyNumberFormat="0" applyBorder="0" applyAlignment="0" applyProtection="0"/>
    <xf numFmtId="0" fontId="23" fillId="10" borderId="16" applyNumberFormat="0" applyAlignment="0" applyProtection="0"/>
    <xf numFmtId="0" fontId="25" fillId="11" borderId="19" applyNumberFormat="0" applyAlignment="0" applyProtection="0"/>
    <xf numFmtId="43" fontId="13" fillId="0" borderId="0" applyFont="0" applyFill="0" applyBorder="0" applyAlignment="0" applyProtection="0"/>
    <xf numFmtId="0" fontId="26" fillId="0" borderId="0" applyNumberFormat="0" applyFill="0" applyBorder="0" applyAlignment="0" applyProtection="0"/>
    <xf numFmtId="0" fontId="18" fillId="6" borderId="0" applyNumberFormat="0" applyBorder="0" applyAlignment="0" applyProtection="0"/>
    <xf numFmtId="49" fontId="15" fillId="0" borderId="21" applyFill="0" applyProtection="0">
      <alignment horizontal="right" wrapText="1"/>
    </xf>
    <xf numFmtId="49" fontId="16" fillId="0" borderId="0" applyProtection="0">
      <alignment wrapText="1"/>
    </xf>
    <xf numFmtId="49" fontId="17" fillId="0" borderId="22" applyFill="0" applyProtection="0">
      <alignment horizontal="right" wrapText="1"/>
    </xf>
    <xf numFmtId="49" fontId="17" fillId="0" borderId="0" applyProtection="0">
      <alignment wrapText="1"/>
    </xf>
    <xf numFmtId="0" fontId="32" fillId="0" borderId="0" applyNumberFormat="0" applyFill="0" applyBorder="0" applyAlignment="0" applyProtection="0">
      <alignment vertical="top"/>
      <protection locked="0"/>
    </xf>
    <xf numFmtId="0" fontId="21" fillId="9" borderId="16" applyNumberFormat="0" applyAlignment="0" applyProtection="0"/>
    <xf numFmtId="0" fontId="24" fillId="0" borderId="18" applyNumberFormat="0" applyFill="0" applyAlignment="0" applyProtection="0"/>
    <xf numFmtId="0" fontId="20" fillId="8" borderId="0" applyNumberFormat="0" applyBorder="0" applyAlignment="0" applyProtection="0"/>
    <xf numFmtId="0" fontId="1" fillId="0" borderId="0"/>
    <xf numFmtId="0" fontId="13" fillId="12" borderId="20" applyNumberFormat="0" applyAlignment="0" applyProtection="0"/>
    <xf numFmtId="0" fontId="22" fillId="10" borderId="17" applyNumberFormat="0" applyAlignment="0" applyProtection="0"/>
    <xf numFmtId="9" fontId="13" fillId="0" borderId="0" applyFont="0" applyFill="0" applyBorder="0" applyAlignment="0" applyProtection="0"/>
    <xf numFmtId="9" fontId="1" fillId="0" borderId="0" applyFont="0" applyFill="0" applyBorder="0" applyAlignment="0" applyProtection="0"/>
    <xf numFmtId="171" fontId="28" fillId="0" borderId="0" applyNumberFormat="0" applyFill="0" applyBorder="0" applyAlignment="0" applyProtection="0"/>
    <xf numFmtId="171" fontId="13" fillId="13" borderId="0" applyNumberFormat="0" applyFont="0" applyBorder="0" applyAlignment="0" applyProtection="0"/>
    <xf numFmtId="0" fontId="13" fillId="0" borderId="0" applyFill="0" applyBorder="0" applyProtection="0"/>
    <xf numFmtId="171" fontId="13" fillId="14" borderId="0" applyNumberFormat="0" applyFont="0" applyBorder="0" applyAlignment="0" applyProtection="0"/>
    <xf numFmtId="172" fontId="13" fillId="0" borderId="0" applyFill="0" applyBorder="0" applyAlignment="0" applyProtection="0"/>
    <xf numFmtId="0" fontId="29" fillId="0" borderId="0" applyNumberFormat="0" applyAlignment="0" applyProtection="0"/>
    <xf numFmtId="0" fontId="28" fillId="0" borderId="21" applyFill="0" applyProtection="0">
      <alignment horizontal="left" wrapText="1"/>
    </xf>
    <xf numFmtId="0" fontId="28" fillId="0" borderId="0" applyFill="0" applyProtection="0">
      <alignment wrapText="1"/>
    </xf>
    <xf numFmtId="0" fontId="28" fillId="0" borderId="25" applyFill="0" applyProtection="0">
      <alignment wrapText="1"/>
    </xf>
    <xf numFmtId="171" fontId="30" fillId="0" borderId="24" applyNumberFormat="0" applyFill="0" applyAlignment="0" applyProtection="0"/>
    <xf numFmtId="0" fontId="31" fillId="0" borderId="0" applyAlignment="0" applyProtection="0"/>
    <xf numFmtId="0" fontId="30" fillId="0" borderId="23" applyNumberFormat="0" applyFill="0" applyAlignment="0" applyProtection="0"/>
    <xf numFmtId="49" fontId="14" fillId="0" borderId="0" applyAlignment="0" applyProtection="0"/>
    <xf numFmtId="0" fontId="27" fillId="0" borderId="23" applyNumberFormat="0" applyFill="0" applyAlignment="0" applyProtection="0"/>
    <xf numFmtId="0" fontId="4" fillId="0" borderId="0"/>
    <xf numFmtId="43" fontId="1" fillId="0" borderId="0" applyFont="0" applyFill="0" applyBorder="0" applyAlignment="0" applyProtection="0"/>
    <xf numFmtId="0" fontId="4" fillId="0" borderId="0"/>
    <xf numFmtId="0" fontId="13" fillId="0" borderId="0"/>
    <xf numFmtId="171" fontId="13" fillId="0" borderId="0"/>
    <xf numFmtId="9" fontId="13" fillId="0" borderId="0" applyFont="0" applyFill="0" applyBorder="0" applyAlignment="0" applyProtection="0"/>
    <xf numFmtId="0" fontId="34" fillId="0" borderId="0"/>
    <xf numFmtId="0" fontId="4" fillId="0" borderId="0"/>
    <xf numFmtId="0" fontId="36" fillId="0" borderId="0" applyNumberFormat="0" applyFill="0" applyBorder="0" applyProtection="0">
      <alignment vertical="top" wrapText="1"/>
    </xf>
    <xf numFmtId="0" fontId="4" fillId="0" borderId="0"/>
    <xf numFmtId="9" fontId="4" fillId="0" borderId="0" applyFont="0" applyFill="0" applyBorder="0" applyAlignment="0" applyProtection="0"/>
  </cellStyleXfs>
  <cellXfs count="1144">
    <xf numFmtId="0" fontId="0" fillId="0" borderId="0" xfId="0"/>
    <xf numFmtId="0" fontId="3" fillId="0" borderId="0" xfId="0" applyFont="1"/>
    <xf numFmtId="0" fontId="3" fillId="0" borderId="27" xfId="0" applyFont="1" applyBorder="1" applyAlignment="1">
      <alignment horizontal="center"/>
    </xf>
    <xf numFmtId="170" fontId="3" fillId="0" borderId="0" xfId="3" applyNumberFormat="1" applyFont="1" applyFill="1" applyBorder="1" applyAlignment="1">
      <alignment horizontal="center" wrapText="1"/>
    </xf>
    <xf numFmtId="0" fontId="10" fillId="0" borderId="0" xfId="0" applyFont="1" applyAlignment="1">
      <alignment horizontal="center" vertical="center" wrapText="1"/>
    </xf>
    <xf numFmtId="0" fontId="3" fillId="0" borderId="0" xfId="0" applyFont="1" applyAlignment="1">
      <alignment horizontal="center" vertical="center" wrapText="1"/>
    </xf>
    <xf numFmtId="9" fontId="3" fillId="0" borderId="0" xfId="0" applyNumberFormat="1" applyFont="1" applyAlignment="1">
      <alignment horizontal="center" vertical="center" wrapText="1"/>
    </xf>
    <xf numFmtId="0" fontId="10" fillId="0" borderId="27" xfId="0" applyFont="1" applyBorder="1" applyAlignment="1">
      <alignment horizontal="center" vertical="center" wrapText="1"/>
    </xf>
    <xf numFmtId="0" fontId="3" fillId="0" borderId="27" xfId="0" applyFont="1" applyBorder="1" applyAlignment="1">
      <alignment horizontal="center" vertical="center" wrapText="1"/>
    </xf>
    <xf numFmtId="0" fontId="3" fillId="0" borderId="11" xfId="0" applyFont="1" applyBorder="1" applyAlignment="1">
      <alignment horizontal="center" vertical="center" wrapText="1"/>
    </xf>
    <xf numFmtId="0" fontId="10" fillId="0" borderId="1" xfId="0" applyFont="1" applyBorder="1" applyAlignment="1">
      <alignment horizontal="center" vertical="center" wrapText="1"/>
    </xf>
    <xf numFmtId="9" fontId="3" fillId="0" borderId="0" xfId="0" applyNumberFormat="1" applyFont="1" applyAlignment="1">
      <alignment horizontal="center" vertical="center"/>
    </xf>
    <xf numFmtId="0" fontId="3" fillId="17" borderId="27" xfId="0" applyFont="1" applyFill="1" applyBorder="1" applyAlignment="1">
      <alignment horizontal="center" vertical="center" wrapText="1"/>
    </xf>
    <xf numFmtId="0" fontId="10" fillId="17" borderId="0" xfId="0" applyFont="1" applyFill="1" applyAlignment="1">
      <alignment horizontal="center" vertical="center" wrapText="1"/>
    </xf>
    <xf numFmtId="0" fontId="3" fillId="17" borderId="0" xfId="0" applyFont="1" applyFill="1" applyAlignment="1">
      <alignment horizontal="center" vertical="center" wrapText="1"/>
    </xf>
    <xf numFmtId="0" fontId="10" fillId="0" borderId="8" xfId="0" applyFont="1" applyBorder="1" applyAlignment="1">
      <alignment horizontal="center" vertical="center" wrapText="1"/>
    </xf>
    <xf numFmtId="0" fontId="10" fillId="0" borderId="9" xfId="0" applyFont="1" applyBorder="1" applyAlignment="1">
      <alignment horizontal="center" vertical="center" wrapText="1"/>
    </xf>
    <xf numFmtId="0" fontId="3" fillId="0" borderId="0" xfId="0" applyFont="1" applyAlignment="1">
      <alignment horizontal="center" vertical="center"/>
    </xf>
    <xf numFmtId="165" fontId="4" fillId="0" borderId="0" xfId="1" applyNumberFormat="1" applyFont="1" applyBorder="1" applyAlignment="1">
      <alignment horizontal="center" vertical="center"/>
    </xf>
    <xf numFmtId="1" fontId="3" fillId="0" borderId="0" xfId="0" applyNumberFormat="1" applyFont="1" applyAlignment="1">
      <alignment horizontal="center" vertical="center"/>
    </xf>
    <xf numFmtId="165" fontId="3" fillId="0" borderId="0" xfId="0" applyNumberFormat="1" applyFont="1" applyAlignment="1">
      <alignment horizontal="center" vertical="center"/>
    </xf>
    <xf numFmtId="0" fontId="3" fillId="18" borderId="0" xfId="0" applyFont="1" applyFill="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1" fontId="9" fillId="0" borderId="0" xfId="0" applyNumberFormat="1" applyFont="1" applyAlignment="1">
      <alignment horizontal="center" vertical="center"/>
    </xf>
    <xf numFmtId="0" fontId="9" fillId="0" borderId="0" xfId="0" applyFont="1" applyAlignment="1">
      <alignment horizontal="left" vertical="center"/>
    </xf>
    <xf numFmtId="9" fontId="9" fillId="0" borderId="0" xfId="0" applyNumberFormat="1" applyFont="1" applyAlignment="1">
      <alignment horizontal="center" vertical="center"/>
    </xf>
    <xf numFmtId="0" fontId="9" fillId="0" borderId="27" xfId="0" applyFont="1" applyBorder="1" applyAlignment="1">
      <alignment horizontal="center" vertical="center" wrapText="1"/>
    </xf>
    <xf numFmtId="0" fontId="9" fillId="0" borderId="26" xfId="0" applyFont="1" applyBorder="1" applyAlignment="1">
      <alignment horizontal="center" vertical="center"/>
    </xf>
    <xf numFmtId="0" fontId="8" fillId="0" borderId="27" xfId="0" applyFont="1" applyBorder="1" applyAlignment="1">
      <alignment horizontal="center" vertical="center" wrapText="1"/>
    </xf>
    <xf numFmtId="0" fontId="8" fillId="0" borderId="11" xfId="0" applyFont="1" applyBorder="1" applyAlignment="1">
      <alignment horizontal="center" vertical="center" wrapText="1"/>
    </xf>
    <xf numFmtId="0" fontId="8" fillId="0" borderId="1" xfId="0" applyFont="1" applyBorder="1" applyAlignment="1">
      <alignment horizontal="center" vertical="center"/>
    </xf>
    <xf numFmtId="2" fontId="3" fillId="0" borderId="0" xfId="0" applyNumberFormat="1" applyFont="1" applyAlignment="1">
      <alignment horizontal="center"/>
    </xf>
    <xf numFmtId="2" fontId="3" fillId="0" borderId="26" xfId="0" applyNumberFormat="1" applyFont="1" applyBorder="1" applyAlignment="1">
      <alignment horizontal="center"/>
    </xf>
    <xf numFmtId="0" fontId="3" fillId="0" borderId="11" xfId="0" applyFont="1" applyBorder="1"/>
    <xf numFmtId="1" fontId="9" fillId="0" borderId="26" xfId="0" applyNumberFormat="1" applyFont="1" applyBorder="1" applyAlignment="1">
      <alignment horizontal="center" vertical="center"/>
    </xf>
    <xf numFmtId="1" fontId="8" fillId="0" borderId="26" xfId="0" applyNumberFormat="1" applyFont="1" applyBorder="1" applyAlignment="1">
      <alignment horizontal="center" vertical="center"/>
    </xf>
    <xf numFmtId="0" fontId="8" fillId="4" borderId="9" xfId="0" applyFont="1" applyFill="1" applyBorder="1" applyAlignment="1">
      <alignment horizontal="center" vertical="center"/>
    </xf>
    <xf numFmtId="0" fontId="8" fillId="4" borderId="10" xfId="0" applyFont="1" applyFill="1" applyBorder="1" applyAlignment="1">
      <alignment horizontal="center" vertical="center"/>
    </xf>
    <xf numFmtId="0" fontId="8" fillId="4" borderId="0" xfId="0" applyFont="1" applyFill="1" applyAlignment="1">
      <alignment horizontal="center" vertical="center"/>
    </xf>
    <xf numFmtId="0" fontId="8" fillId="4" borderId="26" xfId="0" applyFont="1" applyFill="1" applyBorder="1" applyAlignment="1">
      <alignment horizontal="center" vertical="center"/>
    </xf>
    <xf numFmtId="1" fontId="3" fillId="0" borderId="26" xfId="0" applyNumberFormat="1" applyFont="1" applyBorder="1" applyAlignment="1">
      <alignment horizontal="center"/>
    </xf>
    <xf numFmtId="1" fontId="3" fillId="0" borderId="12" xfId="0" applyNumberFormat="1" applyFont="1" applyBorder="1" applyAlignment="1">
      <alignment horizontal="center"/>
    </xf>
    <xf numFmtId="9" fontId="3" fillId="19" borderId="0" xfId="3" applyFont="1" applyFill="1" applyBorder="1" applyAlignment="1">
      <alignment horizontal="center" wrapText="1"/>
    </xf>
    <xf numFmtId="0" fontId="10" fillId="17" borderId="26" xfId="0" applyFont="1" applyFill="1" applyBorder="1" applyAlignment="1">
      <alignment horizontal="center" vertical="center" wrapText="1"/>
    </xf>
    <xf numFmtId="4" fontId="10" fillId="0" borderId="10" xfId="0" applyNumberFormat="1" applyFont="1" applyBorder="1" applyAlignment="1">
      <alignment horizontal="center" vertical="center" wrapText="1"/>
    </xf>
    <xf numFmtId="4" fontId="10" fillId="0" borderId="26" xfId="0" applyNumberFormat="1" applyFont="1" applyBorder="1" applyAlignment="1">
      <alignment horizontal="center" vertical="center" wrapText="1"/>
    </xf>
    <xf numFmtId="3" fontId="12" fillId="0" borderId="26" xfId="0" applyNumberFormat="1" applyFont="1" applyBorder="1" applyAlignment="1">
      <alignment horizontal="center" vertical="center" wrapText="1"/>
    </xf>
    <xf numFmtId="3" fontId="3" fillId="0" borderId="26" xfId="0" applyNumberFormat="1" applyFont="1" applyBorder="1" applyAlignment="1">
      <alignment horizontal="center" vertical="center" wrapText="1"/>
    </xf>
    <xf numFmtId="0" fontId="11" fillId="2" borderId="9" xfId="4" applyFont="1" applyBorder="1" applyAlignment="1">
      <alignment horizontal="center" vertical="center"/>
    </xf>
    <xf numFmtId="0" fontId="11" fillId="2" borderId="9" xfId="4" applyFont="1" applyBorder="1" applyAlignment="1">
      <alignment horizontal="center" vertical="center" wrapText="1"/>
    </xf>
    <xf numFmtId="165" fontId="7" fillId="0" borderId="27" xfId="1" applyNumberFormat="1" applyFont="1" applyBorder="1" applyAlignment="1">
      <alignment horizontal="center" vertical="center"/>
    </xf>
    <xf numFmtId="0" fontId="3" fillId="0" borderId="27" xfId="0" applyFont="1" applyBorder="1" applyAlignment="1">
      <alignment horizontal="center" vertical="center"/>
    </xf>
    <xf numFmtId="0" fontId="3" fillId="0" borderId="11" xfId="0" applyFont="1" applyBorder="1" applyAlignment="1">
      <alignment horizontal="center" vertical="center"/>
    </xf>
    <xf numFmtId="165" fontId="4" fillId="0" borderId="1" xfId="1" applyNumberFormat="1" applyFont="1" applyBorder="1" applyAlignment="1">
      <alignment horizontal="center" vertical="center"/>
    </xf>
    <xf numFmtId="0" fontId="3" fillId="0" borderId="1" xfId="0" applyFont="1" applyBorder="1" applyAlignment="1">
      <alignment horizontal="center" vertical="center"/>
    </xf>
    <xf numFmtId="0" fontId="0" fillId="0" borderId="1" xfId="0" applyBorder="1"/>
    <xf numFmtId="1" fontId="3" fillId="0" borderId="1" xfId="0" applyNumberFormat="1" applyFont="1" applyBorder="1" applyAlignment="1">
      <alignment horizontal="center" vertical="center"/>
    </xf>
    <xf numFmtId="0" fontId="3" fillId="0" borderId="0" xfId="0" applyFont="1" applyAlignment="1">
      <alignment horizontal="center"/>
    </xf>
    <xf numFmtId="171" fontId="3" fillId="16" borderId="0" xfId="46" applyFont="1" applyFill="1" applyAlignment="1">
      <alignment horizontal="center"/>
    </xf>
    <xf numFmtId="168" fontId="3" fillId="0" borderId="0" xfId="0" applyNumberFormat="1" applyFont="1" applyAlignment="1">
      <alignment horizontal="center"/>
    </xf>
    <xf numFmtId="0" fontId="3" fillId="4" borderId="0" xfId="0" applyFont="1" applyFill="1" applyAlignment="1">
      <alignment horizontal="center"/>
    </xf>
    <xf numFmtId="0" fontId="3" fillId="0" borderId="8" xfId="0" applyFont="1" applyBorder="1"/>
    <xf numFmtId="0" fontId="3" fillId="0" borderId="27" xfId="0" applyFont="1" applyBorder="1"/>
    <xf numFmtId="171" fontId="3" fillId="16" borderId="26" xfId="46" applyFont="1" applyFill="1" applyBorder="1"/>
    <xf numFmtId="171" fontId="10" fillId="20" borderId="27" xfId="46" applyFont="1" applyFill="1" applyBorder="1"/>
    <xf numFmtId="0" fontId="3" fillId="0" borderId="26" xfId="0" applyFont="1" applyBorder="1"/>
    <xf numFmtId="171" fontId="3" fillId="16" borderId="27" xfId="46" applyFont="1" applyFill="1" applyBorder="1"/>
    <xf numFmtId="171" fontId="10" fillId="4" borderId="27" xfId="46" applyFont="1" applyFill="1" applyBorder="1"/>
    <xf numFmtId="0" fontId="3" fillId="4" borderId="26" xfId="0" applyFont="1" applyFill="1" applyBorder="1"/>
    <xf numFmtId="171" fontId="3" fillId="16" borderId="11" xfId="46" applyFont="1" applyFill="1" applyBorder="1"/>
    <xf numFmtId="168" fontId="3" fillId="0" borderId="1" xfId="0" applyNumberFormat="1" applyFont="1" applyBorder="1" applyAlignment="1">
      <alignment horizontal="center"/>
    </xf>
    <xf numFmtId="171" fontId="10" fillId="0" borderId="0" xfId="46" applyFont="1" applyAlignment="1">
      <alignment horizontal="center"/>
    </xf>
    <xf numFmtId="171" fontId="3" fillId="0" borderId="0" xfId="46" applyFont="1"/>
    <xf numFmtId="173" fontId="13" fillId="0" borderId="0" xfId="46" applyNumberFormat="1" applyAlignment="1">
      <alignment horizontal="center" vertical="center"/>
    </xf>
    <xf numFmtId="1" fontId="3" fillId="0" borderId="0" xfId="0" applyNumberFormat="1" applyFont="1" applyAlignment="1">
      <alignment horizontal="center"/>
    </xf>
    <xf numFmtId="171" fontId="10" fillId="16" borderId="8" xfId="46" applyFont="1" applyFill="1" applyBorder="1" applyAlignment="1">
      <alignment horizontal="center"/>
    </xf>
    <xf numFmtId="171" fontId="10" fillId="16" borderId="9" xfId="46" applyFont="1" applyFill="1" applyBorder="1" applyAlignment="1">
      <alignment horizontal="center"/>
    </xf>
    <xf numFmtId="171" fontId="10" fillId="16" borderId="10" xfId="46" applyFont="1" applyFill="1" applyBorder="1"/>
    <xf numFmtId="3" fontId="10" fillId="0" borderId="26" xfId="0" applyNumberFormat="1" applyFont="1" applyBorder="1" applyAlignment="1">
      <alignment horizontal="center" vertical="center" wrapText="1"/>
    </xf>
    <xf numFmtId="0" fontId="35" fillId="0" borderId="0" xfId="0" applyFont="1" applyAlignment="1">
      <alignment horizontal="center"/>
    </xf>
    <xf numFmtId="0" fontId="4" fillId="0" borderId="27" xfId="0" applyFont="1" applyBorder="1" applyAlignment="1" applyProtection="1">
      <alignment horizontal="center" vertical="center"/>
      <protection locked="0"/>
    </xf>
    <xf numFmtId="4" fontId="4" fillId="0" borderId="0" xfId="0" applyNumberFormat="1" applyFont="1" applyAlignment="1">
      <alignment horizontal="center" vertical="center"/>
    </xf>
    <xf numFmtId="0" fontId="7" fillId="4" borderId="2" xfId="0" applyFont="1" applyFill="1" applyBorder="1" applyAlignment="1">
      <alignment horizontal="center" vertical="center"/>
    </xf>
    <xf numFmtId="0" fontId="7" fillId="4" borderId="2" xfId="0" applyFont="1" applyFill="1" applyBorder="1" applyAlignment="1">
      <alignment vertical="center"/>
    </xf>
    <xf numFmtId="3" fontId="4" fillId="0" borderId="0" xfId="0" applyNumberFormat="1" applyFont="1" applyAlignment="1" applyProtection="1">
      <alignment horizontal="center" vertical="center"/>
      <protection locked="0"/>
    </xf>
    <xf numFmtId="0" fontId="7" fillId="21" borderId="4" xfId="0" applyFont="1" applyFill="1" applyBorder="1" applyAlignment="1">
      <alignment horizontal="center"/>
    </xf>
    <xf numFmtId="0" fontId="7" fillId="21" borderId="15" xfId="0" applyFont="1" applyFill="1" applyBorder="1" applyAlignment="1">
      <alignment horizontal="center" vertical="center"/>
    </xf>
    <xf numFmtId="3" fontId="7" fillId="21" borderId="15" xfId="0" applyNumberFormat="1" applyFont="1" applyFill="1" applyBorder="1" applyAlignment="1">
      <alignment vertical="center"/>
    </xf>
    <xf numFmtId="2" fontId="3" fillId="0" borderId="12" xfId="0" applyNumberFormat="1" applyFont="1" applyBorder="1" applyAlignment="1">
      <alignment horizontal="center"/>
    </xf>
    <xf numFmtId="0" fontId="10" fillId="0" borderId="0" xfId="0" applyFont="1" applyAlignment="1">
      <alignment horizontal="center"/>
    </xf>
    <xf numFmtId="0" fontId="38" fillId="0" borderId="0" xfId="0" applyFont="1" applyAlignment="1">
      <alignment vertical="top"/>
    </xf>
    <xf numFmtId="0" fontId="8" fillId="24" borderId="28" xfId="0" applyFont="1" applyFill="1" applyBorder="1" applyAlignment="1">
      <alignment vertical="center"/>
    </xf>
    <xf numFmtId="0" fontId="8" fillId="24" borderId="13" xfId="0" applyFont="1" applyFill="1" applyBorder="1" applyAlignment="1">
      <alignment horizontal="center" vertical="center"/>
    </xf>
    <xf numFmtId="0" fontId="8" fillId="24" borderId="29" xfId="0" applyFont="1" applyFill="1" applyBorder="1" applyAlignment="1">
      <alignment horizontal="center" vertical="center"/>
    </xf>
    <xf numFmtId="0" fontId="3" fillId="0" borderId="28" xfId="0" applyFont="1" applyBorder="1" applyAlignment="1">
      <alignment vertical="center"/>
    </xf>
    <xf numFmtId="0" fontId="9" fillId="0" borderId="13" xfId="0" applyFont="1" applyBorder="1" applyAlignment="1">
      <alignment horizontal="center" vertical="center"/>
    </xf>
    <xf numFmtId="0" fontId="9" fillId="0" borderId="28" xfId="0" applyFont="1" applyBorder="1" applyAlignment="1">
      <alignment vertical="center"/>
    </xf>
    <xf numFmtId="0" fontId="8" fillId="24" borderId="28" xfId="0" applyFont="1" applyFill="1" applyBorder="1" applyAlignment="1">
      <alignment horizontal="center" vertical="center"/>
    </xf>
    <xf numFmtId="0" fontId="8" fillId="24" borderId="13" xfId="0" applyFont="1" applyFill="1" applyBorder="1" applyAlignment="1">
      <alignment horizontal="center" vertical="center" wrapText="1"/>
    </xf>
    <xf numFmtId="0" fontId="8" fillId="24" borderId="29" xfId="0" applyFont="1" applyFill="1" applyBorder="1" applyAlignment="1">
      <alignment horizontal="center" vertical="center" wrapText="1"/>
    </xf>
    <xf numFmtId="0" fontId="9" fillId="5" borderId="28" xfId="0" applyFont="1" applyFill="1" applyBorder="1" applyAlignment="1">
      <alignment horizontal="center" vertical="center"/>
    </xf>
    <xf numFmtId="0" fontId="8" fillId="5" borderId="13" xfId="0" applyFont="1" applyFill="1" applyBorder="1" applyAlignment="1">
      <alignment vertical="center" wrapText="1"/>
    </xf>
    <xf numFmtId="0" fontId="9" fillId="5" borderId="13" xfId="0" applyFont="1" applyFill="1" applyBorder="1" applyAlignment="1">
      <alignment horizontal="center" vertical="center"/>
    </xf>
    <xf numFmtId="0" fontId="3" fillId="0" borderId="13" xfId="0" applyFont="1" applyBorder="1" applyAlignment="1">
      <alignment horizontal="center" vertical="center"/>
    </xf>
    <xf numFmtId="3" fontId="0" fillId="0" borderId="0" xfId="0" applyNumberFormat="1"/>
    <xf numFmtId="4" fontId="0" fillId="0" borderId="0" xfId="0" applyNumberFormat="1"/>
    <xf numFmtId="0" fontId="0" fillId="0" borderId="0" xfId="0" applyAlignment="1">
      <alignment vertical="top"/>
    </xf>
    <xf numFmtId="2" fontId="10" fillId="0" borderId="0" xfId="0" applyNumberFormat="1" applyFont="1" applyAlignment="1">
      <alignment horizontal="center"/>
    </xf>
    <xf numFmtId="0" fontId="42" fillId="0" borderId="6" xfId="0" applyFont="1" applyBorder="1" applyAlignment="1">
      <alignment horizontal="left" vertical="center" wrapText="1"/>
    </xf>
    <xf numFmtId="0" fontId="9" fillId="0" borderId="5" xfId="0" applyFont="1" applyBorder="1" applyAlignment="1">
      <alignment horizontal="left" vertical="center" wrapText="1" indent="1"/>
    </xf>
    <xf numFmtId="0" fontId="9" fillId="0" borderId="14" xfId="0" applyFont="1" applyBorder="1" applyAlignment="1">
      <alignment vertical="center" wrapText="1"/>
    </xf>
    <xf numFmtId="0" fontId="44" fillId="0" borderId="0" xfId="0" applyFont="1" applyAlignment="1">
      <alignment horizontal="center" vertical="center"/>
    </xf>
    <xf numFmtId="1" fontId="44" fillId="0" borderId="0" xfId="0" applyNumberFormat="1" applyFont="1" applyAlignment="1">
      <alignment horizontal="center" vertical="center"/>
    </xf>
    <xf numFmtId="170" fontId="44" fillId="0" borderId="0" xfId="3" applyNumberFormat="1" applyFont="1" applyBorder="1" applyAlignment="1">
      <alignment horizontal="center" vertical="center"/>
    </xf>
    <xf numFmtId="0" fontId="35" fillId="4" borderId="9" xfId="0" applyFont="1" applyFill="1" applyBorder="1" applyAlignment="1">
      <alignment horizontal="center" vertical="center"/>
    </xf>
    <xf numFmtId="0" fontId="35" fillId="4" borderId="10" xfId="0" applyFont="1" applyFill="1" applyBorder="1" applyAlignment="1">
      <alignment horizontal="center" vertical="center" wrapText="1"/>
    </xf>
    <xf numFmtId="0" fontId="43" fillId="0" borderId="1" xfId="0" applyFont="1" applyBorder="1" applyAlignment="1">
      <alignment horizontal="center"/>
    </xf>
    <xf numFmtId="3" fontId="43" fillId="0" borderId="1" xfId="0" applyNumberFormat="1" applyFont="1" applyBorder="1" applyAlignment="1">
      <alignment horizontal="center"/>
    </xf>
    <xf numFmtId="0" fontId="4" fillId="0" borderId="0" xfId="42"/>
    <xf numFmtId="0" fontId="7" fillId="0" borderId="0" xfId="42" applyFont="1"/>
    <xf numFmtId="0" fontId="4" fillId="0" borderId="0" xfId="42" applyAlignment="1">
      <alignment vertical="center"/>
    </xf>
    <xf numFmtId="167" fontId="4" fillId="0" borderId="0" xfId="42" applyNumberFormat="1"/>
    <xf numFmtId="0" fontId="4" fillId="0" borderId="0" xfId="44"/>
    <xf numFmtId="0" fontId="45" fillId="0" borderId="0" xfId="44" applyFont="1"/>
    <xf numFmtId="2" fontId="4" fillId="0" borderId="0" xfId="44" applyNumberFormat="1"/>
    <xf numFmtId="2" fontId="47" fillId="0" borderId="0" xfId="44" applyNumberFormat="1" applyFont="1"/>
    <xf numFmtId="0" fontId="45" fillId="0" borderId="0" xfId="44" applyFont="1" applyAlignment="1">
      <alignment vertical="center"/>
    </xf>
    <xf numFmtId="2" fontId="48" fillId="0" borderId="0" xfId="44" applyNumberFormat="1" applyFont="1" applyAlignment="1">
      <alignment vertical="center"/>
    </xf>
    <xf numFmtId="2" fontId="45" fillId="0" borderId="0" xfId="44" applyNumberFormat="1" applyFont="1" applyAlignment="1">
      <alignment vertical="center"/>
    </xf>
    <xf numFmtId="2" fontId="7" fillId="0" borderId="0" xfId="44" applyNumberFormat="1" applyFont="1" applyAlignment="1">
      <alignment vertical="center"/>
    </xf>
    <xf numFmtId="2" fontId="46" fillId="0" borderId="0" xfId="44" applyNumberFormat="1" applyFont="1" applyAlignment="1">
      <alignment vertical="center"/>
    </xf>
    <xf numFmtId="167" fontId="4" fillId="0" borderId="0" xfId="44" applyNumberFormat="1"/>
    <xf numFmtId="10" fontId="46" fillId="0" borderId="0" xfId="52" applyNumberFormat="1" applyFont="1" applyAlignment="1">
      <alignment vertical="center"/>
    </xf>
    <xf numFmtId="0" fontId="7" fillId="0" borderId="0" xfId="42" applyFont="1" applyAlignment="1">
      <alignment horizontal="center" vertical="center"/>
    </xf>
    <xf numFmtId="0" fontId="7" fillId="0" borderId="0" xfId="42" applyFont="1" applyAlignment="1">
      <alignment horizontal="center"/>
    </xf>
    <xf numFmtId="2" fontId="7" fillId="0" borderId="0" xfId="42" applyNumberFormat="1" applyFont="1"/>
    <xf numFmtId="2" fontId="4" fillId="0" borderId="0" xfId="42" applyNumberFormat="1"/>
    <xf numFmtId="3" fontId="4" fillId="0" borderId="0" xfId="42" applyNumberFormat="1"/>
    <xf numFmtId="4" fontId="4" fillId="0" borderId="0" xfId="42" applyNumberFormat="1"/>
    <xf numFmtId="3" fontId="7" fillId="0" borderId="0" xfId="42" applyNumberFormat="1" applyFont="1"/>
    <xf numFmtId="3" fontId="7" fillId="0" borderId="0" xfId="42" applyNumberFormat="1" applyFont="1" applyAlignment="1">
      <alignment horizontal="center"/>
    </xf>
    <xf numFmtId="4" fontId="7" fillId="0" borderId="0" xfId="42" applyNumberFormat="1" applyFont="1" applyAlignment="1">
      <alignment horizontal="center"/>
    </xf>
    <xf numFmtId="0" fontId="49" fillId="0" borderId="0" xfId="42" applyFont="1" applyAlignment="1">
      <alignment vertical="center"/>
    </xf>
    <xf numFmtId="0" fontId="35" fillId="0" borderId="0" xfId="42" applyFont="1"/>
    <xf numFmtId="0" fontId="35" fillId="0" borderId="0" xfId="42" applyFont="1" applyAlignment="1">
      <alignment vertical="center"/>
    </xf>
    <xf numFmtId="2" fontId="4" fillId="0" borderId="0" xfId="42" applyNumberFormat="1" applyAlignment="1">
      <alignment horizontal="center" vertical="center"/>
    </xf>
    <xf numFmtId="0" fontId="4" fillId="0" borderId="0" xfId="42" applyAlignment="1">
      <alignment horizontal="center" vertical="center"/>
    </xf>
    <xf numFmtId="0" fontId="4" fillId="0" borderId="0" xfId="42" applyAlignment="1">
      <alignment horizontal="center"/>
    </xf>
    <xf numFmtId="167" fontId="4" fillId="0" borderId="0" xfId="42" applyNumberFormat="1" applyAlignment="1">
      <alignment horizontal="center" vertical="center"/>
    </xf>
    <xf numFmtId="167" fontId="4" fillId="0" borderId="0" xfId="42" applyNumberFormat="1" applyAlignment="1">
      <alignment horizontal="center"/>
    </xf>
    <xf numFmtId="0" fontId="10" fillId="15" borderId="6" xfId="0" applyFont="1" applyFill="1" applyBorder="1" applyAlignment="1">
      <alignment horizontal="center"/>
    </xf>
    <xf numFmtId="2" fontId="7" fillId="0" borderId="0" xfId="44" applyNumberFormat="1" applyFont="1" applyAlignment="1">
      <alignment horizontal="center" vertical="center"/>
    </xf>
    <xf numFmtId="0" fontId="4" fillId="0" borderId="0" xfId="44" applyAlignment="1">
      <alignment horizontal="center" vertical="center"/>
    </xf>
    <xf numFmtId="2" fontId="4" fillId="0" borderId="0" xfId="44" applyNumberFormat="1" applyAlignment="1">
      <alignment horizontal="center" vertical="center"/>
    </xf>
    <xf numFmtId="171" fontId="10" fillId="16" borderId="27" xfId="46" applyFont="1" applyFill="1" applyBorder="1" applyAlignment="1">
      <alignment vertical="center"/>
    </xf>
    <xf numFmtId="171" fontId="10" fillId="16" borderId="0" xfId="46" applyFont="1" applyFill="1" applyAlignment="1">
      <alignment vertical="center"/>
    </xf>
    <xf numFmtId="171" fontId="10" fillId="16" borderId="26" xfId="46" applyFont="1" applyFill="1" applyBorder="1" applyAlignment="1">
      <alignment horizontal="center" vertical="center"/>
    </xf>
    <xf numFmtId="1" fontId="3" fillId="0" borderId="9" xfId="0" applyNumberFormat="1" applyFont="1" applyBorder="1" applyAlignment="1">
      <alignment horizontal="center"/>
    </xf>
    <xf numFmtId="0" fontId="3" fillId="4" borderId="8" xfId="0" applyFont="1" applyFill="1" applyBorder="1" applyAlignment="1">
      <alignment horizontal="center"/>
    </xf>
    <xf numFmtId="0" fontId="3" fillId="4" borderId="10" xfId="0" applyFont="1" applyFill="1" applyBorder="1" applyAlignment="1">
      <alignment horizontal="center"/>
    </xf>
    <xf numFmtId="2" fontId="3" fillId="0" borderId="0" xfId="0" applyNumberFormat="1" applyFont="1"/>
    <xf numFmtId="0" fontId="4" fillId="0" borderId="0" xfId="0" applyFont="1" applyAlignment="1">
      <alignment horizontal="center" vertical="center"/>
    </xf>
    <xf numFmtId="0" fontId="3" fillId="0" borderId="0" xfId="0" applyFont="1" applyAlignment="1">
      <alignment wrapText="1"/>
    </xf>
    <xf numFmtId="3" fontId="10" fillId="0" borderId="10" xfId="0" applyNumberFormat="1" applyFont="1" applyBorder="1" applyAlignment="1">
      <alignment horizontal="center" vertical="center" wrapText="1"/>
    </xf>
    <xf numFmtId="2" fontId="3" fillId="0" borderId="26" xfId="0" applyNumberFormat="1" applyFont="1" applyBorder="1" applyAlignment="1">
      <alignment horizontal="center" vertical="center"/>
    </xf>
    <xf numFmtId="1" fontId="10" fillId="3" borderId="15" xfId="0" applyNumberFormat="1" applyFont="1" applyFill="1" applyBorder="1" applyAlignment="1">
      <alignment horizontal="center"/>
    </xf>
    <xf numFmtId="0" fontId="10" fillId="0" borderId="0" xfId="0" applyFont="1"/>
    <xf numFmtId="10" fontId="3" fillId="0" borderId="9" xfId="0" applyNumberFormat="1" applyFont="1" applyBorder="1" applyAlignment="1">
      <alignment horizontal="center"/>
    </xf>
    <xf numFmtId="0" fontId="10" fillId="17" borderId="9" xfId="4" applyFont="1" applyFill="1" applyBorder="1" applyAlignment="1">
      <alignment horizontal="center" vertical="center"/>
    </xf>
    <xf numFmtId="0" fontId="10" fillId="17" borderId="9" xfId="4" applyFont="1" applyFill="1" applyBorder="1" applyAlignment="1">
      <alignment vertical="center"/>
    </xf>
    <xf numFmtId="0" fontId="10" fillId="17" borderId="2" xfId="4" applyNumberFormat="1" applyFont="1" applyFill="1" applyBorder="1" applyAlignment="1">
      <alignment horizontal="center" vertical="center"/>
    </xf>
    <xf numFmtId="9" fontId="10" fillId="17" borderId="1" xfId="3" applyFont="1" applyFill="1" applyBorder="1" applyAlignment="1">
      <alignment horizontal="center" vertical="center"/>
    </xf>
    <xf numFmtId="9" fontId="10" fillId="17" borderId="1" xfId="3" applyFont="1" applyFill="1" applyBorder="1" applyAlignment="1">
      <alignment vertical="center"/>
    </xf>
    <xf numFmtId="2" fontId="11" fillId="17" borderId="1" xfId="4" applyNumberFormat="1" applyFont="1" applyFill="1" applyBorder="1" applyAlignment="1">
      <alignment horizontal="center" vertical="center"/>
    </xf>
    <xf numFmtId="2" fontId="11" fillId="17" borderId="1" xfId="4" applyNumberFormat="1" applyFont="1" applyFill="1" applyBorder="1" applyAlignment="1">
      <alignment horizontal="center" vertical="center" wrapText="1"/>
    </xf>
    <xf numFmtId="2" fontId="10" fillId="17" borderId="1" xfId="0" applyNumberFormat="1" applyFont="1" applyFill="1" applyBorder="1" applyAlignment="1">
      <alignment horizontal="center" vertical="center"/>
    </xf>
    <xf numFmtId="2" fontId="11" fillId="0" borderId="0" xfId="4" applyNumberFormat="1" applyFont="1" applyFill="1" applyBorder="1" applyAlignment="1">
      <alignment horizontal="center" vertical="center"/>
    </xf>
    <xf numFmtId="2" fontId="11" fillId="0" borderId="0" xfId="4" applyNumberFormat="1" applyFont="1" applyFill="1" applyBorder="1" applyAlignment="1">
      <alignment horizontal="center" vertical="center" wrapText="1"/>
    </xf>
    <xf numFmtId="2" fontId="10" fillId="0" borderId="0" xfId="0" applyNumberFormat="1" applyFont="1" applyAlignment="1">
      <alignment horizontal="center" vertical="center"/>
    </xf>
    <xf numFmtId="0" fontId="3" fillId="0" borderId="8" xfId="0" applyFont="1" applyBorder="1" applyAlignment="1">
      <alignment horizontal="center" vertical="center"/>
    </xf>
    <xf numFmtId="0" fontId="10" fillId="0" borderId="9" xfId="0" applyFont="1" applyBorder="1" applyAlignment="1">
      <alignment horizontal="left" vertical="center"/>
    </xf>
    <xf numFmtId="1" fontId="10" fillId="0" borderId="9" xfId="0" applyNumberFormat="1" applyFont="1" applyBorder="1" applyAlignment="1">
      <alignment horizontal="center" vertical="center"/>
    </xf>
    <xf numFmtId="2" fontId="9" fillId="0" borderId="9" xfId="0" applyNumberFormat="1" applyFont="1" applyBorder="1" applyAlignment="1">
      <alignment horizontal="center" vertical="center"/>
    </xf>
    <xf numFmtId="10" fontId="9" fillId="0" borderId="9" xfId="3" applyNumberFormat="1" applyFont="1" applyFill="1" applyBorder="1" applyAlignment="1">
      <alignment horizontal="center" vertical="center"/>
    </xf>
    <xf numFmtId="2" fontId="9" fillId="0" borderId="9" xfId="3" applyNumberFormat="1" applyFont="1" applyFill="1" applyBorder="1" applyAlignment="1">
      <alignment horizontal="center" vertical="center"/>
    </xf>
    <xf numFmtId="2" fontId="3" fillId="0" borderId="9" xfId="0" applyNumberFormat="1" applyFont="1" applyBorder="1" applyAlignment="1">
      <alignment horizontal="center"/>
    </xf>
    <xf numFmtId="0" fontId="10" fillId="0" borderId="11" xfId="0" applyFont="1" applyBorder="1" applyAlignment="1">
      <alignment horizontal="center" vertical="center"/>
    </xf>
    <xf numFmtId="0" fontId="10" fillId="4" borderId="1" xfId="0" applyFont="1" applyFill="1" applyBorder="1" applyAlignment="1">
      <alignment horizontal="center" vertical="center"/>
    </xf>
    <xf numFmtId="1" fontId="10" fillId="4" borderId="1" xfId="0" applyNumberFormat="1" applyFont="1" applyFill="1" applyBorder="1" applyAlignment="1">
      <alignment horizontal="center" vertical="center"/>
    </xf>
    <xf numFmtId="3" fontId="8" fillId="4" borderId="1" xfId="0" applyNumberFormat="1" applyFont="1" applyFill="1" applyBorder="1" applyAlignment="1">
      <alignment vertical="center"/>
    </xf>
    <xf numFmtId="2" fontId="3" fillId="0" borderId="1" xfId="0" applyNumberFormat="1" applyFont="1" applyBorder="1" applyAlignment="1">
      <alignment horizontal="center"/>
    </xf>
    <xf numFmtId="2" fontId="8" fillId="0" borderId="1" xfId="0" applyNumberFormat="1" applyFont="1" applyBorder="1" applyAlignment="1">
      <alignment horizontal="center" vertical="center"/>
    </xf>
    <xf numFmtId="2" fontId="10" fillId="0" borderId="1" xfId="0" applyNumberFormat="1" applyFont="1" applyBorder="1" applyAlignment="1">
      <alignment horizontal="center"/>
    </xf>
    <xf numFmtId="0" fontId="10" fillId="0" borderId="8" xfId="0" applyFont="1" applyBorder="1" applyAlignment="1">
      <alignment horizontal="center" vertical="center"/>
    </xf>
    <xf numFmtId="0" fontId="10" fillId="0" borderId="9" xfId="0" applyFont="1" applyBorder="1" applyAlignment="1">
      <alignment horizontal="center" vertical="center"/>
    </xf>
    <xf numFmtId="3" fontId="8" fillId="0" borderId="9" xfId="0" applyNumberFormat="1" applyFont="1" applyBorder="1" applyAlignment="1">
      <alignment horizontal="center" vertical="center"/>
    </xf>
    <xf numFmtId="2" fontId="8" fillId="0" borderId="9" xfId="0" applyNumberFormat="1" applyFont="1" applyBorder="1" applyAlignment="1">
      <alignment horizontal="center" vertical="center"/>
    </xf>
    <xf numFmtId="169" fontId="9" fillId="0" borderId="0" xfId="0" applyNumberFormat="1" applyFont="1" applyAlignment="1">
      <alignment horizontal="center" vertical="center"/>
    </xf>
    <xf numFmtId="2" fontId="9" fillId="0" borderId="0" xfId="0" applyNumberFormat="1" applyFont="1" applyAlignment="1">
      <alignment horizontal="center" vertical="center"/>
    </xf>
    <xf numFmtId="0" fontId="3" fillId="0" borderId="0" xfId="0" quotePrefix="1" applyFont="1" applyAlignment="1">
      <alignment horizontal="center" vertical="center"/>
    </xf>
    <xf numFmtId="3" fontId="9" fillId="0" borderId="0" xfId="0" applyNumberFormat="1" applyFont="1" applyAlignment="1">
      <alignment horizontal="center" vertical="center"/>
    </xf>
    <xf numFmtId="2" fontId="9" fillId="0" borderId="0" xfId="6" applyNumberFormat="1" applyFont="1" applyFill="1" applyBorder="1" applyAlignment="1">
      <alignment horizontal="center" vertical="center"/>
    </xf>
    <xf numFmtId="0" fontId="10" fillId="0" borderId="4" xfId="0" applyFont="1" applyBorder="1" applyAlignment="1">
      <alignment horizontal="center" vertical="center"/>
    </xf>
    <xf numFmtId="0" fontId="10" fillId="0" borderId="15" xfId="0" applyFont="1" applyBorder="1" applyAlignment="1">
      <alignment horizontal="center" vertical="center"/>
    </xf>
    <xf numFmtId="3" fontId="8" fillId="0" borderId="15" xfId="0" applyNumberFormat="1" applyFont="1" applyBorder="1" applyAlignment="1">
      <alignment horizontal="center" vertical="center"/>
    </xf>
    <xf numFmtId="2" fontId="8" fillId="0" borderId="15" xfId="0" applyNumberFormat="1" applyFont="1" applyBorder="1" applyAlignment="1">
      <alignment horizontal="center" vertical="center"/>
    </xf>
    <xf numFmtId="3" fontId="9" fillId="0" borderId="8" xfId="0" applyNumberFormat="1" applyFont="1" applyBorder="1" applyAlignment="1">
      <alignment horizontal="center" vertical="center"/>
    </xf>
    <xf numFmtId="170" fontId="9" fillId="0" borderId="27" xfId="3" applyNumberFormat="1" applyFont="1" applyFill="1" applyBorder="1" applyAlignment="1">
      <alignment horizontal="center" vertical="center"/>
    </xf>
    <xf numFmtId="0" fontId="10" fillId="0" borderId="1" xfId="0" applyFont="1" applyBorder="1" applyAlignment="1">
      <alignment horizontal="center" vertical="center"/>
    </xf>
    <xf numFmtId="3" fontId="8" fillId="0" borderId="11" xfId="0" applyNumberFormat="1" applyFont="1" applyBorder="1" applyAlignment="1">
      <alignment horizontal="center" vertical="center"/>
    </xf>
    <xf numFmtId="166" fontId="9" fillId="0" borderId="0" xfId="6" applyNumberFormat="1" applyFont="1" applyFill="1" applyBorder="1" applyAlignment="1">
      <alignment horizontal="center" vertical="center"/>
    </xf>
    <xf numFmtId="166" fontId="9" fillId="0" borderId="1" xfId="6" applyNumberFormat="1" applyFont="1" applyFill="1" applyBorder="1" applyAlignment="1">
      <alignment horizontal="center" vertical="center"/>
    </xf>
    <xf numFmtId="2" fontId="9" fillId="0" borderId="1" xfId="6" applyNumberFormat="1" applyFont="1" applyFill="1" applyBorder="1" applyAlignment="1">
      <alignment horizontal="center" vertical="center"/>
    </xf>
    <xf numFmtId="0" fontId="7" fillId="17" borderId="8" xfId="5" applyFont="1" applyFill="1" applyBorder="1" applyAlignment="1">
      <alignment horizontal="center" vertical="center"/>
    </xf>
    <xf numFmtId="0" fontId="7" fillId="17" borderId="9" xfId="5" applyFont="1" applyFill="1" applyBorder="1" applyAlignment="1">
      <alignment horizontal="center" vertical="center"/>
    </xf>
    <xf numFmtId="2" fontId="9" fillId="17" borderId="10" xfId="0" applyNumberFormat="1" applyFont="1" applyFill="1" applyBorder="1" applyAlignment="1">
      <alignment horizontal="center" vertical="center"/>
    </xf>
    <xf numFmtId="0" fontId="7" fillId="17" borderId="27" xfId="0" applyFont="1" applyFill="1" applyBorder="1" applyAlignment="1">
      <alignment horizontal="center" vertical="center"/>
    </xf>
    <xf numFmtId="0" fontId="7" fillId="17" borderId="0" xfId="0" applyFont="1" applyFill="1" applyAlignment="1">
      <alignment horizontal="center" vertical="center"/>
    </xf>
    <xf numFmtId="2" fontId="9" fillId="17" borderId="26" xfId="0" applyNumberFormat="1" applyFont="1" applyFill="1" applyBorder="1" applyAlignment="1">
      <alignment horizontal="center" vertical="center"/>
    </xf>
    <xf numFmtId="0" fontId="7" fillId="17" borderId="11" xfId="0" applyFont="1" applyFill="1" applyBorder="1" applyAlignment="1">
      <alignment horizontal="center" vertical="center"/>
    </xf>
    <xf numFmtId="0" fontId="7" fillId="17" borderId="1" xfId="0" applyFont="1" applyFill="1" applyBorder="1" applyAlignment="1">
      <alignment horizontal="center" vertical="center"/>
    </xf>
    <xf numFmtId="2" fontId="9" fillId="17" borderId="12" xfId="0" applyNumberFormat="1" applyFont="1" applyFill="1" applyBorder="1" applyAlignment="1">
      <alignment horizontal="center" vertical="center"/>
    </xf>
    <xf numFmtId="2" fontId="3" fillId="0" borderId="0" xfId="6" applyNumberFormat="1" applyFont="1" applyFill="1" applyBorder="1" applyAlignment="1">
      <alignment horizontal="center"/>
    </xf>
    <xf numFmtId="0" fontId="3" fillId="0" borderId="11" xfId="0" applyFont="1" applyBorder="1" applyAlignment="1">
      <alignment horizontal="center"/>
    </xf>
    <xf numFmtId="0" fontId="3" fillId="0" borderId="1" xfId="0" applyFont="1" applyBorder="1"/>
    <xf numFmtId="2" fontId="9" fillId="0" borderId="0" xfId="0" applyNumberFormat="1" applyFont="1" applyAlignment="1">
      <alignment horizontal="center" vertical="center" wrapText="1"/>
    </xf>
    <xf numFmtId="0" fontId="3" fillId="0" borderId="2" xfId="0" applyFont="1" applyBorder="1" applyAlignment="1">
      <alignment horizontal="left"/>
    </xf>
    <xf numFmtId="170" fontId="10" fillId="0" borderId="2" xfId="0" applyNumberFormat="1" applyFont="1" applyBorder="1" applyAlignment="1" applyProtection="1">
      <alignment horizontal="center"/>
      <protection locked="0"/>
    </xf>
    <xf numFmtId="2" fontId="8" fillId="0" borderId="0" xfId="0" applyNumberFormat="1" applyFont="1" applyAlignment="1">
      <alignment horizontal="center" vertical="center" wrapText="1"/>
    </xf>
    <xf numFmtId="0" fontId="10" fillId="0" borderId="2" xfId="0" applyFont="1" applyBorder="1" applyAlignment="1" applyProtection="1">
      <alignment horizontal="center"/>
      <protection locked="0"/>
    </xf>
    <xf numFmtId="2" fontId="8" fillId="0" borderId="0" xfId="0" applyNumberFormat="1" applyFont="1" applyAlignment="1">
      <alignment horizontal="center" vertical="center"/>
    </xf>
    <xf numFmtId="4" fontId="10" fillId="0" borderId="12" xfId="0" applyNumberFormat="1" applyFont="1" applyBorder="1" applyAlignment="1">
      <alignment horizontal="center" vertical="center" wrapText="1"/>
    </xf>
    <xf numFmtId="2" fontId="8" fillId="0" borderId="12" xfId="0" applyNumberFormat="1" applyFont="1" applyBorder="1" applyAlignment="1">
      <alignment horizontal="center" vertical="center"/>
    </xf>
    <xf numFmtId="2" fontId="8" fillId="0" borderId="26" xfId="0" applyNumberFormat="1" applyFont="1" applyBorder="1" applyAlignment="1">
      <alignment horizontal="center" vertical="center"/>
    </xf>
    <xf numFmtId="0" fontId="3" fillId="0" borderId="26" xfId="0" applyFont="1" applyBorder="1" applyAlignment="1">
      <alignment horizontal="center"/>
    </xf>
    <xf numFmtId="0" fontId="3" fillId="0" borderId="1" xfId="0" applyFont="1" applyBorder="1" applyAlignment="1">
      <alignment horizontal="center"/>
    </xf>
    <xf numFmtId="0" fontId="3" fillId="4" borderId="9" xfId="0" applyFont="1" applyFill="1" applyBorder="1" applyAlignment="1">
      <alignment horizontal="center"/>
    </xf>
    <xf numFmtId="0" fontId="10" fillId="17" borderId="0" xfId="4" applyNumberFormat="1" applyFont="1" applyFill="1" applyBorder="1" applyAlignment="1">
      <alignment horizontal="center" vertical="center"/>
    </xf>
    <xf numFmtId="0" fontId="10" fillId="17" borderId="27" xfId="4" applyFont="1" applyFill="1" applyBorder="1" applyAlignment="1">
      <alignment vertical="center"/>
    </xf>
    <xf numFmtId="0" fontId="10" fillId="17" borderId="11" xfId="4" applyFont="1" applyFill="1" applyBorder="1" applyAlignment="1">
      <alignment vertical="center"/>
    </xf>
    <xf numFmtId="0" fontId="51" fillId="0" borderId="0" xfId="0" applyFont="1"/>
    <xf numFmtId="3" fontId="8" fillId="4" borderId="1" xfId="0" applyNumberFormat="1" applyFont="1" applyFill="1" applyBorder="1" applyAlignment="1">
      <alignment horizontal="center" vertical="center"/>
    </xf>
    <xf numFmtId="2" fontId="3" fillId="0" borderId="1" xfId="0" applyNumberFormat="1" applyFont="1" applyBorder="1" applyAlignment="1">
      <alignment horizontal="center" vertical="center"/>
    </xf>
    <xf numFmtId="4" fontId="8" fillId="0" borderId="9" xfId="0" applyNumberFormat="1" applyFont="1" applyBorder="1" applyAlignment="1">
      <alignment vertical="center"/>
    </xf>
    <xf numFmtId="0" fontId="51" fillId="0" borderId="0" xfId="0" applyFont="1" applyAlignment="1">
      <alignment horizontal="center"/>
    </xf>
    <xf numFmtId="0" fontId="51" fillId="17" borderId="0" xfId="0" applyFont="1" applyFill="1"/>
    <xf numFmtId="0" fontId="51" fillId="17" borderId="0" xfId="0" applyFont="1" applyFill="1" applyAlignment="1">
      <alignment horizontal="center"/>
    </xf>
    <xf numFmtId="0" fontId="53" fillId="0" borderId="0" xfId="0" applyFont="1"/>
    <xf numFmtId="0" fontId="51" fillId="16" borderId="0" xfId="0" applyFont="1" applyFill="1"/>
    <xf numFmtId="175" fontId="51" fillId="0" borderId="0" xfId="0" applyNumberFormat="1" applyFont="1"/>
    <xf numFmtId="176" fontId="53" fillId="0" borderId="0" xfId="0" applyNumberFormat="1" applyFont="1"/>
    <xf numFmtId="0" fontId="52" fillId="0" borderId="0" xfId="0" applyFont="1"/>
    <xf numFmtId="0" fontId="51" fillId="0" borderId="0" xfId="0" applyFont="1" applyAlignment="1">
      <alignment horizontal="left" vertical="center"/>
    </xf>
    <xf numFmtId="177" fontId="51" fillId="0" borderId="0" xfId="0" applyNumberFormat="1" applyFont="1"/>
    <xf numFmtId="177" fontId="51" fillId="0" borderId="0" xfId="0" applyNumberFormat="1" applyFont="1" applyAlignment="1">
      <alignment horizontal="center"/>
    </xf>
    <xf numFmtId="177" fontId="51" fillId="0" borderId="0" xfId="0" applyNumberFormat="1" applyFont="1" applyAlignment="1">
      <alignment horizontal="center" vertical="center"/>
    </xf>
    <xf numFmtId="0" fontId="51" fillId="22" borderId="0" xfId="0" applyFont="1" applyFill="1"/>
    <xf numFmtId="170" fontId="3" fillId="0" borderId="0" xfId="3" applyNumberFormat="1" applyFont="1" applyFill="1" applyBorder="1" applyAlignment="1">
      <alignment horizontal="center" vertical="top" wrapText="1"/>
    </xf>
    <xf numFmtId="9" fontId="3" fillId="19" borderId="0" xfId="3" applyFont="1" applyFill="1" applyBorder="1" applyAlignment="1">
      <alignment horizontal="center" vertical="top" wrapText="1"/>
    </xf>
    <xf numFmtId="2" fontId="0" fillId="0" borderId="0" xfId="0" applyNumberFormat="1"/>
    <xf numFmtId="164" fontId="0" fillId="0" borderId="0" xfId="1" applyFont="1" applyBorder="1"/>
    <xf numFmtId="10" fontId="9" fillId="0" borderId="0" xfId="3" applyNumberFormat="1" applyFont="1" applyFill="1" applyBorder="1" applyAlignment="1">
      <alignment horizontal="center" vertical="center"/>
    </xf>
    <xf numFmtId="10" fontId="3" fillId="0" borderId="0" xfId="3" applyNumberFormat="1" applyFont="1" applyFill="1" applyBorder="1" applyAlignment="1">
      <alignment horizontal="center" vertical="center"/>
    </xf>
    <xf numFmtId="37" fontId="9" fillId="0" borderId="0" xfId="1" applyNumberFormat="1" applyFont="1" applyFill="1" applyBorder="1" applyAlignment="1">
      <alignment horizontal="center" vertical="center"/>
    </xf>
    <xf numFmtId="0" fontId="10" fillId="4" borderId="27" xfId="0" applyFont="1" applyFill="1" applyBorder="1" applyAlignment="1">
      <alignment horizontal="center" wrapText="1"/>
    </xf>
    <xf numFmtId="0" fontId="10" fillId="4" borderId="26" xfId="0" applyFont="1" applyFill="1" applyBorder="1" applyAlignment="1">
      <alignment horizontal="center" wrapText="1"/>
    </xf>
    <xf numFmtId="0" fontId="3" fillId="19" borderId="27" xfId="0" applyFont="1" applyFill="1" applyBorder="1" applyAlignment="1">
      <alignment horizontal="center" wrapText="1"/>
    </xf>
    <xf numFmtId="2" fontId="3" fillId="19" borderId="26" xfId="0" applyNumberFormat="1" applyFont="1" applyFill="1" applyBorder="1" applyAlignment="1">
      <alignment horizontal="center"/>
    </xf>
    <xf numFmtId="0" fontId="10" fillId="4" borderId="26" xfId="0" applyFont="1" applyFill="1" applyBorder="1" applyAlignment="1">
      <alignment horizontal="center" vertical="top" wrapText="1"/>
    </xf>
    <xf numFmtId="2" fontId="3" fillId="19" borderId="26" xfId="0" applyNumberFormat="1" applyFont="1" applyFill="1" applyBorder="1" applyAlignment="1">
      <alignment horizontal="center" vertical="top"/>
    </xf>
    <xf numFmtId="2" fontId="3" fillId="0" borderId="26" xfId="0" applyNumberFormat="1" applyFont="1" applyBorder="1" applyAlignment="1">
      <alignment horizontal="center" vertical="top"/>
    </xf>
    <xf numFmtId="0" fontId="10" fillId="4" borderId="9" xfId="0" applyFont="1" applyFill="1" applyBorder="1" applyAlignment="1">
      <alignment horizontal="center" vertical="center" wrapText="1"/>
    </xf>
    <xf numFmtId="2" fontId="10" fillId="4" borderId="10" xfId="0" applyNumberFormat="1" applyFont="1" applyFill="1" applyBorder="1" applyAlignment="1">
      <alignment horizontal="center" vertical="center"/>
    </xf>
    <xf numFmtId="0" fontId="3" fillId="4" borderId="11" xfId="0" applyFont="1" applyFill="1" applyBorder="1" applyAlignment="1">
      <alignment horizontal="center" wrapText="1"/>
    </xf>
    <xf numFmtId="0" fontId="3" fillId="4" borderId="1" xfId="0" applyFont="1" applyFill="1" applyBorder="1" applyAlignment="1">
      <alignment horizontal="center" wrapText="1"/>
    </xf>
    <xf numFmtId="0" fontId="8" fillId="4" borderId="1" xfId="0" applyFont="1" applyFill="1" applyBorder="1" applyAlignment="1">
      <alignment horizontal="center" vertical="center"/>
    </xf>
    <xf numFmtId="2" fontId="3" fillId="4" borderId="12" xfId="0" applyNumberFormat="1" applyFont="1" applyFill="1" applyBorder="1" applyAlignment="1">
      <alignment horizontal="center"/>
    </xf>
    <xf numFmtId="2" fontId="3" fillId="23" borderId="26" xfId="0" applyNumberFormat="1" applyFont="1" applyFill="1" applyBorder="1" applyAlignment="1">
      <alignment horizontal="center"/>
    </xf>
    <xf numFmtId="0" fontId="10" fillId="4" borderId="8" xfId="0" applyFont="1" applyFill="1" applyBorder="1" applyAlignment="1">
      <alignment horizontal="center" vertical="top" wrapText="1"/>
    </xf>
    <xf numFmtId="2" fontId="10" fillId="4" borderId="10" xfId="0" applyNumberFormat="1" applyFont="1" applyFill="1" applyBorder="1" applyAlignment="1">
      <alignment horizontal="center" vertical="top"/>
    </xf>
    <xf numFmtId="0" fontId="3" fillId="4" borderId="11" xfId="0" applyFont="1" applyFill="1" applyBorder="1" applyAlignment="1">
      <alignment horizontal="center" vertical="top" wrapText="1"/>
    </xf>
    <xf numFmtId="0" fontId="10" fillId="4" borderId="8" xfId="0" applyFont="1" applyFill="1" applyBorder="1" applyAlignment="1">
      <alignment horizontal="center" vertical="center" wrapText="1"/>
    </xf>
    <xf numFmtId="0" fontId="9" fillId="23" borderId="27" xfId="0" applyFont="1" applyFill="1" applyBorder="1" applyAlignment="1">
      <alignment horizontal="center" vertical="center"/>
    </xf>
    <xf numFmtId="0" fontId="0" fillId="23" borderId="26" xfId="0" applyFill="1" applyBorder="1" applyAlignment="1">
      <alignment horizontal="center"/>
    </xf>
    <xf numFmtId="0" fontId="10" fillId="4" borderId="1" xfId="0" applyFont="1" applyFill="1" applyBorder="1" applyAlignment="1">
      <alignment horizontal="center" wrapText="1"/>
    </xf>
    <xf numFmtId="0" fontId="3" fillId="0" borderId="8" xfId="0" applyFont="1" applyBorder="1" applyAlignment="1">
      <alignment horizontal="center"/>
    </xf>
    <xf numFmtId="0" fontId="3" fillId="0" borderId="9" xfId="0" applyFont="1" applyBorder="1"/>
    <xf numFmtId="1" fontId="3" fillId="0" borderId="10" xfId="0" applyNumberFormat="1" applyFont="1" applyBorder="1" applyAlignment="1">
      <alignment horizontal="center"/>
    </xf>
    <xf numFmtId="1" fontId="3" fillId="0" borderId="1" xfId="0" applyNumberFormat="1" applyFont="1" applyBorder="1" applyAlignment="1">
      <alignment horizontal="center"/>
    </xf>
    <xf numFmtId="0" fontId="33" fillId="0" borderId="0" xfId="0" applyFont="1"/>
    <xf numFmtId="167" fontId="10" fillId="0" borderId="2" xfId="0" applyNumberFormat="1" applyFont="1" applyBorder="1" applyAlignment="1" applyProtection="1">
      <alignment horizontal="center"/>
      <protection locked="0"/>
    </xf>
    <xf numFmtId="0" fontId="9" fillId="0" borderId="0" xfId="0" applyFont="1" applyAlignment="1">
      <alignment vertical="top" wrapText="1"/>
    </xf>
    <xf numFmtId="0" fontId="3" fillId="0" borderId="11" xfId="0" applyFont="1" applyBorder="1" applyAlignment="1">
      <alignment horizontal="left"/>
    </xf>
    <xf numFmtId="0" fontId="3" fillId="0" borderId="1" xfId="0" applyFont="1" applyBorder="1" applyAlignment="1">
      <alignment horizontal="left"/>
    </xf>
    <xf numFmtId="0" fontId="52" fillId="0" borderId="1" xfId="0" applyFont="1" applyBorder="1" applyAlignment="1">
      <alignment horizontal="center"/>
    </xf>
    <xf numFmtId="2" fontId="51" fillId="0" borderId="0" xfId="6" applyNumberFormat="1" applyFont="1" applyFill="1" applyBorder="1" applyAlignment="1">
      <alignment horizontal="center"/>
    </xf>
    <xf numFmtId="2" fontId="51" fillId="0" borderId="26" xfId="6" applyNumberFormat="1" applyFont="1" applyFill="1" applyBorder="1" applyAlignment="1">
      <alignment horizontal="center"/>
    </xf>
    <xf numFmtId="2" fontId="8" fillId="17" borderId="9" xfId="6" applyNumberFormat="1" applyFont="1" applyFill="1" applyBorder="1" applyAlignment="1">
      <alignment horizontal="center" vertical="center"/>
    </xf>
    <xf numFmtId="2" fontId="7" fillId="17" borderId="1" xfId="6" applyNumberFormat="1" applyFont="1" applyFill="1" applyBorder="1" applyAlignment="1">
      <alignment horizontal="center"/>
    </xf>
    <xf numFmtId="10" fontId="8" fillId="17" borderId="0" xfId="3" applyNumberFormat="1" applyFont="1" applyFill="1" applyBorder="1" applyAlignment="1">
      <alignment horizontal="center" vertical="center"/>
    </xf>
    <xf numFmtId="2" fontId="3" fillId="0" borderId="9" xfId="6" applyNumberFormat="1" applyFont="1" applyFill="1" applyBorder="1" applyAlignment="1">
      <alignment horizontal="center"/>
    </xf>
    <xf numFmtId="2" fontId="3" fillId="0" borderId="10" xfId="6" applyNumberFormat="1" applyFont="1" applyFill="1" applyBorder="1" applyAlignment="1">
      <alignment horizontal="center"/>
    </xf>
    <xf numFmtId="0" fontId="52" fillId="0" borderId="0" xfId="0" applyFont="1" applyAlignment="1">
      <alignment horizontal="center"/>
    </xf>
    <xf numFmtId="2" fontId="51" fillId="0" borderId="1" xfId="6" applyNumberFormat="1" applyFont="1" applyFill="1" applyBorder="1" applyAlignment="1">
      <alignment horizontal="center"/>
    </xf>
    <xf numFmtId="2" fontId="51" fillId="0" borderId="12" xfId="6" applyNumberFormat="1" applyFont="1" applyFill="1" applyBorder="1" applyAlignment="1">
      <alignment horizontal="center"/>
    </xf>
    <xf numFmtId="2" fontId="3" fillId="0" borderId="26" xfId="6" applyNumberFormat="1" applyFont="1" applyFill="1" applyBorder="1" applyAlignment="1">
      <alignment horizontal="center"/>
    </xf>
    <xf numFmtId="0" fontId="7" fillId="17" borderId="4" xfId="0" applyFont="1" applyFill="1" applyBorder="1" applyAlignment="1">
      <alignment horizontal="center" vertical="center"/>
    </xf>
    <xf numFmtId="0" fontId="7" fillId="17" borderId="15" xfId="0" applyFont="1" applyFill="1" applyBorder="1" applyAlignment="1">
      <alignment horizontal="center" vertical="center"/>
    </xf>
    <xf numFmtId="2" fontId="7" fillId="17" borderId="15" xfId="6" applyNumberFormat="1" applyFont="1" applyFill="1" applyBorder="1" applyAlignment="1">
      <alignment horizontal="center"/>
    </xf>
    <xf numFmtId="2" fontId="9" fillId="17" borderId="7" xfId="0" applyNumberFormat="1" applyFont="1" applyFill="1" applyBorder="1" applyAlignment="1">
      <alignment horizontal="center" vertical="center"/>
    </xf>
    <xf numFmtId="2" fontId="7" fillId="17" borderId="15" xfId="6" applyNumberFormat="1" applyFont="1" applyFill="1" applyBorder="1" applyAlignment="1">
      <alignment horizontal="center" vertical="center"/>
    </xf>
    <xf numFmtId="0" fontId="3" fillId="0" borderId="0" xfId="0" applyFont="1" applyAlignment="1">
      <alignment vertical="top"/>
    </xf>
    <xf numFmtId="0" fontId="9" fillId="0" borderId="0" xfId="0" applyFont="1" applyAlignment="1">
      <alignment horizontal="right" vertical="top" wrapText="1"/>
    </xf>
    <xf numFmtId="0" fontId="3" fillId="0" borderId="0" xfId="0" applyFont="1" applyAlignment="1">
      <alignment vertical="center"/>
    </xf>
    <xf numFmtId="1" fontId="3" fillId="0" borderId="27" xfId="0" applyNumberFormat="1" applyFont="1" applyBorder="1" applyAlignment="1">
      <alignment horizontal="left"/>
    </xf>
    <xf numFmtId="1" fontId="3" fillId="0" borderId="14" xfId="0" applyNumberFormat="1" applyFont="1" applyBorder="1" applyAlignment="1">
      <alignment horizontal="left"/>
    </xf>
    <xf numFmtId="165" fontId="3" fillId="0" borderId="14" xfId="1" applyNumberFormat="1" applyFont="1" applyBorder="1" applyAlignment="1"/>
    <xf numFmtId="1" fontId="3" fillId="0" borderId="14" xfId="0" applyNumberFormat="1" applyFont="1" applyBorder="1"/>
    <xf numFmtId="1" fontId="3" fillId="0" borderId="14" xfId="0" applyNumberFormat="1" applyFont="1" applyBorder="1" applyAlignment="1">
      <alignment horizontal="center"/>
    </xf>
    <xf numFmtId="1" fontId="8" fillId="17" borderId="6" xfId="0" applyNumberFormat="1" applyFont="1" applyFill="1" applyBorder="1" applyAlignment="1">
      <alignment horizontal="center" vertical="center" wrapText="1"/>
    </xf>
    <xf numFmtId="1" fontId="9" fillId="17" borderId="6" xfId="0" applyNumberFormat="1" applyFont="1" applyFill="1" applyBorder="1" applyAlignment="1">
      <alignment horizontal="center" vertical="center" wrapText="1"/>
    </xf>
    <xf numFmtId="165" fontId="3" fillId="17" borderId="6" xfId="1" applyNumberFormat="1" applyFont="1" applyFill="1" applyBorder="1" applyAlignment="1">
      <alignment horizontal="center"/>
    </xf>
    <xf numFmtId="1" fontId="3" fillId="17" borderId="6" xfId="0" applyNumberFormat="1" applyFont="1" applyFill="1" applyBorder="1" applyAlignment="1">
      <alignment horizontal="center"/>
    </xf>
    <xf numFmtId="1" fontId="3" fillId="17" borderId="10" xfId="0" applyNumberFormat="1" applyFont="1" applyFill="1" applyBorder="1" applyAlignment="1">
      <alignment horizontal="center"/>
    </xf>
    <xf numFmtId="1" fontId="8" fillId="17" borderId="14" xfId="0" applyNumberFormat="1" applyFont="1" applyFill="1" applyBorder="1" applyAlignment="1">
      <alignment horizontal="center" vertical="center" wrapText="1"/>
    </xf>
    <xf numFmtId="1" fontId="9" fillId="17" borderId="14" xfId="0" applyNumberFormat="1" applyFont="1" applyFill="1" applyBorder="1" applyAlignment="1">
      <alignment horizontal="center" vertical="center" wrapText="1"/>
    </xf>
    <xf numFmtId="165" fontId="3" fillId="17" borderId="14" xfId="1" applyNumberFormat="1" applyFont="1" applyFill="1" applyBorder="1" applyAlignment="1">
      <alignment horizontal="center"/>
    </xf>
    <xf numFmtId="1" fontId="3" fillId="17" borderId="14" xfId="0" applyNumberFormat="1" applyFont="1" applyFill="1" applyBorder="1" applyAlignment="1">
      <alignment horizontal="center"/>
    </xf>
    <xf numFmtId="1" fontId="3" fillId="17" borderId="26" xfId="0" applyNumberFormat="1" applyFont="1" applyFill="1" applyBorder="1" applyAlignment="1">
      <alignment horizontal="center"/>
    </xf>
    <xf numFmtId="1" fontId="8" fillId="17" borderId="5" xfId="0" applyNumberFormat="1" applyFont="1" applyFill="1" applyBorder="1" applyAlignment="1">
      <alignment horizontal="center" vertical="center" wrapText="1"/>
    </xf>
    <xf numFmtId="1" fontId="9" fillId="17" borderId="5" xfId="0" applyNumberFormat="1" applyFont="1" applyFill="1" applyBorder="1" applyAlignment="1">
      <alignment horizontal="center" vertical="center" wrapText="1"/>
    </xf>
    <xf numFmtId="165" fontId="3" fillId="17" borderId="5" xfId="1" applyNumberFormat="1" applyFont="1" applyFill="1" applyBorder="1" applyAlignment="1">
      <alignment horizontal="center"/>
    </xf>
    <xf numFmtId="1" fontId="3" fillId="17" borderId="5" xfId="0" applyNumberFormat="1" applyFont="1" applyFill="1" applyBorder="1" applyAlignment="1">
      <alignment horizontal="center"/>
    </xf>
    <xf numFmtId="1" fontId="3" fillId="17" borderId="12" xfId="0" applyNumberFormat="1" applyFont="1" applyFill="1" applyBorder="1" applyAlignment="1">
      <alignment horizontal="center"/>
    </xf>
    <xf numFmtId="165" fontId="3" fillId="0" borderId="1" xfId="1" applyNumberFormat="1" applyFont="1" applyBorder="1" applyAlignment="1"/>
    <xf numFmtId="0" fontId="3" fillId="0" borderId="12" xfId="0" applyFont="1" applyBorder="1" applyAlignment="1">
      <alignment horizontal="center"/>
    </xf>
    <xf numFmtId="0" fontId="3" fillId="0" borderId="0" xfId="0" applyFont="1" applyAlignment="1">
      <alignment horizontal="left"/>
    </xf>
    <xf numFmtId="165" fontId="3" fillId="0" borderId="0" xfId="1" applyNumberFormat="1" applyFont="1" applyAlignment="1"/>
    <xf numFmtId="4" fontId="8" fillId="0" borderId="9" xfId="0" applyNumberFormat="1" applyFont="1" applyBorder="1" applyAlignment="1">
      <alignment horizontal="center" vertical="center"/>
    </xf>
    <xf numFmtId="0" fontId="3" fillId="4" borderId="11" xfId="0" applyFont="1" applyFill="1" applyBorder="1" applyAlignment="1">
      <alignment horizontal="center" vertical="center"/>
    </xf>
    <xf numFmtId="0" fontId="3" fillId="4" borderId="1" xfId="0" applyFont="1" applyFill="1" applyBorder="1" applyAlignment="1">
      <alignment horizontal="center" vertical="center"/>
    </xf>
    <xf numFmtId="2" fontId="10" fillId="4" borderId="12" xfId="0" applyNumberFormat="1" applyFont="1" applyFill="1" applyBorder="1" applyAlignment="1">
      <alignment horizontal="center" vertical="center"/>
    </xf>
    <xf numFmtId="0" fontId="7" fillId="0" borderId="8" xfId="0" applyFont="1" applyBorder="1" applyAlignment="1">
      <alignment horizontal="center" vertical="center"/>
    </xf>
    <xf numFmtId="0" fontId="7" fillId="0" borderId="10" xfId="0" applyFont="1" applyBorder="1" applyAlignment="1">
      <alignment horizontal="center" vertical="center"/>
    </xf>
    <xf numFmtId="0" fontId="4" fillId="0" borderId="27" xfId="0" applyFont="1" applyBorder="1" applyAlignment="1">
      <alignment vertical="center"/>
    </xf>
    <xf numFmtId="10" fontId="4" fillId="0" borderId="26" xfId="52" applyNumberFormat="1" applyFont="1" applyBorder="1" applyAlignment="1">
      <alignment horizontal="center" vertical="center"/>
    </xf>
    <xf numFmtId="0" fontId="4" fillId="0" borderId="26" xfId="0" applyFont="1" applyBorder="1" applyAlignment="1">
      <alignment horizontal="center" vertical="center"/>
    </xf>
    <xf numFmtId="10" fontId="4" fillId="0" borderId="26" xfId="0" applyNumberFormat="1" applyFont="1" applyBorder="1" applyAlignment="1">
      <alignment horizontal="center" vertical="center"/>
    </xf>
    <xf numFmtId="0" fontId="4" fillId="0" borderId="11" xfId="0" applyFont="1" applyBorder="1" applyAlignment="1">
      <alignment vertical="center"/>
    </xf>
    <xf numFmtId="10" fontId="4" fillId="0" borderId="12" xfId="0" applyNumberFormat="1" applyFont="1" applyBorder="1" applyAlignment="1">
      <alignment horizontal="center" vertical="center"/>
    </xf>
    <xf numFmtId="0" fontId="10" fillId="3" borderId="0" xfId="0" applyFont="1" applyFill="1" applyAlignment="1">
      <alignment horizontal="center" vertical="center"/>
    </xf>
    <xf numFmtId="0" fontId="10" fillId="3" borderId="6" xfId="0" applyFont="1" applyFill="1" applyBorder="1" applyAlignment="1">
      <alignment horizontal="center" vertical="center"/>
    </xf>
    <xf numFmtId="14" fontId="8" fillId="3" borderId="8" xfId="0" applyNumberFormat="1" applyFont="1" applyFill="1" applyBorder="1" applyAlignment="1">
      <alignment horizontal="center" vertical="center"/>
    </xf>
    <xf numFmtId="14" fontId="8" fillId="3" borderId="6" xfId="0" applyNumberFormat="1" applyFont="1" applyFill="1" applyBorder="1" applyAlignment="1">
      <alignment horizontal="center" vertical="center"/>
    </xf>
    <xf numFmtId="1" fontId="10" fillId="3" borderId="6" xfId="0" applyNumberFormat="1" applyFont="1" applyFill="1" applyBorder="1" applyAlignment="1">
      <alignment horizontal="center" vertical="center"/>
    </xf>
    <xf numFmtId="0" fontId="3" fillId="0" borderId="6" xfId="0" applyFont="1" applyBorder="1" applyAlignment="1">
      <alignment horizontal="center"/>
    </xf>
    <xf numFmtId="0" fontId="3" fillId="0" borderId="9" xfId="0" applyFont="1" applyBorder="1" applyAlignment="1">
      <alignment horizontal="center"/>
    </xf>
    <xf numFmtId="1" fontId="3" fillId="0" borderId="8" xfId="0" applyNumberFormat="1" applyFont="1" applyBorder="1" applyAlignment="1">
      <alignment horizontal="center"/>
    </xf>
    <xf numFmtId="1" fontId="3" fillId="0" borderId="6" xfId="0" applyNumberFormat="1" applyFont="1" applyBorder="1" applyAlignment="1">
      <alignment horizontal="center"/>
    </xf>
    <xf numFmtId="1" fontId="3" fillId="0" borderId="6" xfId="1" applyNumberFormat="1" applyFont="1" applyBorder="1" applyAlignment="1">
      <alignment horizontal="center"/>
    </xf>
    <xf numFmtId="1" fontId="10" fillId="3" borderId="0" xfId="0" applyNumberFormat="1" applyFont="1" applyFill="1" applyAlignment="1">
      <alignment horizontal="center"/>
    </xf>
    <xf numFmtId="0" fontId="3" fillId="0" borderId="14" xfId="0" applyFont="1" applyBorder="1" applyAlignment="1">
      <alignment horizontal="center"/>
    </xf>
    <xf numFmtId="1" fontId="3" fillId="0" borderId="27" xfId="0" applyNumberFormat="1" applyFont="1" applyBorder="1" applyAlignment="1">
      <alignment horizontal="center"/>
    </xf>
    <xf numFmtId="1" fontId="3" fillId="0" borderId="14" xfId="1" applyNumberFormat="1" applyFont="1" applyBorder="1" applyAlignment="1">
      <alignment horizontal="center"/>
    </xf>
    <xf numFmtId="168" fontId="10" fillId="0" borderId="0" xfId="0" applyNumberFormat="1" applyFont="1" applyAlignment="1">
      <alignment horizontal="center"/>
    </xf>
    <xf numFmtId="1" fontId="10" fillId="0" borderId="0" xfId="0" applyNumberFormat="1" applyFont="1" applyAlignment="1">
      <alignment horizontal="center"/>
    </xf>
    <xf numFmtId="0" fontId="3" fillId="0" borderId="5" xfId="0" applyFont="1" applyBorder="1" applyAlignment="1">
      <alignment horizontal="center"/>
    </xf>
    <xf numFmtId="1" fontId="3" fillId="0" borderId="11" xfId="0" applyNumberFormat="1" applyFont="1" applyBorder="1" applyAlignment="1">
      <alignment horizontal="center" vertical="center" wrapText="1"/>
    </xf>
    <xf numFmtId="1" fontId="3" fillId="0" borderId="5" xfId="0" applyNumberFormat="1" applyFont="1" applyBorder="1" applyAlignment="1">
      <alignment horizontal="center"/>
    </xf>
    <xf numFmtId="1" fontId="3" fillId="0" borderId="11" xfId="0" applyNumberFormat="1" applyFont="1" applyBorder="1" applyAlignment="1">
      <alignment horizontal="center"/>
    </xf>
    <xf numFmtId="0" fontId="3" fillId="0" borderId="10" xfId="0" applyFont="1" applyBorder="1" applyAlignment="1">
      <alignment horizontal="center"/>
    </xf>
    <xf numFmtId="1" fontId="9" fillId="0" borderId="9" xfId="0" applyNumberFormat="1" applyFont="1" applyBorder="1" applyAlignment="1">
      <alignment horizontal="center" vertical="center" wrapText="1"/>
    </xf>
    <xf numFmtId="1" fontId="9" fillId="0" borderId="6" xfId="0" applyNumberFormat="1" applyFont="1" applyBorder="1" applyAlignment="1">
      <alignment horizontal="center" vertical="center" wrapText="1"/>
    </xf>
    <xf numFmtId="1" fontId="9" fillId="0" borderId="10" xfId="0" applyNumberFormat="1" applyFont="1" applyBorder="1" applyAlignment="1">
      <alignment horizontal="center" vertical="center" wrapText="1"/>
    </xf>
    <xf numFmtId="1" fontId="9" fillId="0" borderId="8" xfId="0" applyNumberFormat="1" applyFont="1" applyBorder="1" applyAlignment="1">
      <alignment horizontal="center" vertical="center" wrapText="1"/>
    </xf>
    <xf numFmtId="1" fontId="9" fillId="0" borderId="14" xfId="0" applyNumberFormat="1" applyFont="1" applyBorder="1" applyAlignment="1">
      <alignment horizontal="center" vertical="center" wrapText="1"/>
    </xf>
    <xf numFmtId="1" fontId="9" fillId="0" borderId="6" xfId="1" applyNumberFormat="1" applyFont="1" applyBorder="1" applyAlignment="1">
      <alignment horizontal="center" vertical="center" wrapText="1"/>
    </xf>
    <xf numFmtId="1" fontId="9" fillId="5" borderId="6" xfId="0" applyNumberFormat="1" applyFont="1" applyFill="1" applyBorder="1" applyAlignment="1">
      <alignment horizontal="center" vertical="center"/>
    </xf>
    <xf numFmtId="1" fontId="9" fillId="5" borderId="8" xfId="0" applyNumberFormat="1" applyFont="1" applyFill="1" applyBorder="1" applyAlignment="1">
      <alignment horizontal="center" vertical="center"/>
    </xf>
    <xf numFmtId="1" fontId="9" fillId="0" borderId="0" xfId="0" applyNumberFormat="1" applyFont="1" applyAlignment="1">
      <alignment horizontal="center" vertical="center" wrapText="1"/>
    </xf>
    <xf numFmtId="1" fontId="9" fillId="0" borderId="26" xfId="0" applyNumberFormat="1" applyFont="1" applyBorder="1" applyAlignment="1">
      <alignment horizontal="center" vertical="center" wrapText="1"/>
    </xf>
    <xf numFmtId="1" fontId="9" fillId="0" borderId="27" xfId="0" applyNumberFormat="1" applyFont="1" applyBorder="1" applyAlignment="1">
      <alignment horizontal="center" vertical="center" wrapText="1"/>
    </xf>
    <xf numFmtId="1" fontId="9" fillId="0" borderId="14" xfId="1" applyNumberFormat="1" applyFont="1" applyBorder="1" applyAlignment="1">
      <alignment horizontal="center" vertical="center" wrapText="1"/>
    </xf>
    <xf numFmtId="1" fontId="9" fillId="5" borderId="14" xfId="0" applyNumberFormat="1" applyFont="1" applyFill="1" applyBorder="1" applyAlignment="1">
      <alignment horizontal="center" vertical="center"/>
    </xf>
    <xf numFmtId="1" fontId="9" fillId="5" borderId="27" xfId="0" applyNumberFormat="1" applyFont="1" applyFill="1" applyBorder="1" applyAlignment="1">
      <alignment horizontal="center" vertical="center"/>
    </xf>
    <xf numFmtId="1" fontId="9" fillId="0" borderId="1" xfId="0" applyNumberFormat="1" applyFont="1" applyBorder="1" applyAlignment="1">
      <alignment horizontal="center" vertical="center" wrapText="1"/>
    </xf>
    <xf numFmtId="1" fontId="9" fillId="0" borderId="5" xfId="0" applyNumberFormat="1" applyFont="1" applyBorder="1" applyAlignment="1">
      <alignment horizontal="center" vertical="center" wrapText="1"/>
    </xf>
    <xf numFmtId="1" fontId="9" fillId="0" borderId="12" xfId="0" applyNumberFormat="1" applyFont="1" applyBorder="1" applyAlignment="1">
      <alignment horizontal="center" vertical="center" wrapText="1"/>
    </xf>
    <xf numFmtId="1" fontId="9" fillId="0" borderId="11" xfId="0" applyNumberFormat="1" applyFont="1" applyBorder="1" applyAlignment="1">
      <alignment horizontal="center" vertical="center" wrapText="1"/>
    </xf>
    <xf numFmtId="1" fontId="9" fillId="0" borderId="5" xfId="1" applyNumberFormat="1" applyFont="1" applyBorder="1" applyAlignment="1">
      <alignment horizontal="center" vertical="center" wrapText="1"/>
    </xf>
    <xf numFmtId="1" fontId="9" fillId="5" borderId="5" xfId="0" applyNumberFormat="1" applyFont="1" applyFill="1" applyBorder="1" applyAlignment="1">
      <alignment horizontal="center" vertical="center"/>
    </xf>
    <xf numFmtId="1" fontId="9" fillId="5" borderId="11" xfId="0" applyNumberFormat="1" applyFont="1" applyFill="1" applyBorder="1" applyAlignment="1">
      <alignment horizontal="center" vertical="center"/>
    </xf>
    <xf numFmtId="0" fontId="3" fillId="4" borderId="6" xfId="0" applyFont="1" applyFill="1" applyBorder="1" applyAlignment="1">
      <alignment horizontal="center"/>
    </xf>
    <xf numFmtId="1" fontId="4" fillId="4" borderId="8" xfId="0" applyNumberFormat="1" applyFont="1" applyFill="1" applyBorder="1" applyAlignment="1">
      <alignment horizontal="center"/>
    </xf>
    <xf numFmtId="1" fontId="4" fillId="4" borderId="14" xfId="0" applyNumberFormat="1" applyFont="1" applyFill="1" applyBorder="1" applyAlignment="1">
      <alignment horizontal="center" vertical="center"/>
    </xf>
    <xf numFmtId="1" fontId="4" fillId="4" borderId="6" xfId="0" applyNumberFormat="1" applyFont="1" applyFill="1" applyBorder="1" applyAlignment="1">
      <alignment horizontal="center" vertical="center"/>
    </xf>
    <xf numFmtId="1" fontId="3" fillId="4" borderId="14" xfId="0" applyNumberFormat="1" applyFont="1" applyFill="1" applyBorder="1" applyAlignment="1">
      <alignment horizontal="center"/>
    </xf>
    <xf numFmtId="0" fontId="3" fillId="4" borderId="27" xfId="0" applyFont="1" applyFill="1" applyBorder="1" applyAlignment="1">
      <alignment horizontal="center"/>
    </xf>
    <xf numFmtId="0" fontId="3" fillId="4" borderId="14" xfId="0" applyFont="1" applyFill="1" applyBorder="1" applyAlignment="1">
      <alignment horizontal="center"/>
    </xf>
    <xf numFmtId="1" fontId="4" fillId="4" borderId="27" xfId="0" applyNumberFormat="1" applyFont="1" applyFill="1" applyBorder="1" applyAlignment="1">
      <alignment horizontal="center"/>
    </xf>
    <xf numFmtId="1" fontId="4" fillId="4" borderId="5" xfId="0" applyNumberFormat="1" applyFont="1" applyFill="1" applyBorder="1" applyAlignment="1">
      <alignment horizontal="center" vertical="center"/>
    </xf>
    <xf numFmtId="1" fontId="4" fillId="0" borderId="8" xfId="0" applyNumberFormat="1" applyFont="1" applyBorder="1" applyAlignment="1">
      <alignment horizontal="center" vertical="center" wrapText="1"/>
    </xf>
    <xf numFmtId="1" fontId="4" fillId="0" borderId="6" xfId="0" applyNumberFormat="1" applyFont="1" applyBorder="1" applyAlignment="1">
      <alignment horizontal="center" vertical="center"/>
    </xf>
    <xf numFmtId="1" fontId="4" fillId="0" borderId="27" xfId="0" applyNumberFormat="1" applyFont="1" applyBorder="1" applyAlignment="1">
      <alignment horizontal="center" vertical="center" wrapText="1"/>
    </xf>
    <xf numFmtId="1" fontId="4" fillId="0" borderId="14" xfId="0" applyNumberFormat="1" applyFont="1" applyBorder="1" applyAlignment="1">
      <alignment horizontal="center" vertical="center"/>
    </xf>
    <xf numFmtId="1" fontId="4" fillId="0" borderId="0" xfId="0" applyNumberFormat="1" applyFont="1" applyAlignment="1">
      <alignment horizontal="center" vertical="center"/>
    </xf>
    <xf numFmtId="1" fontId="4" fillId="0" borderId="11" xfId="0" applyNumberFormat="1" applyFont="1" applyBorder="1" applyAlignment="1">
      <alignment horizontal="center" vertical="center" wrapText="1"/>
    </xf>
    <xf numFmtId="1" fontId="4" fillId="0" borderId="5" xfId="0" applyNumberFormat="1" applyFont="1" applyBorder="1" applyAlignment="1">
      <alignment horizontal="center" vertical="center"/>
    </xf>
    <xf numFmtId="1" fontId="4" fillId="0" borderId="1" xfId="0" applyNumberFormat="1" applyFont="1" applyBorder="1" applyAlignment="1">
      <alignment horizontal="center" vertical="center"/>
    </xf>
    <xf numFmtId="1" fontId="3" fillId="0" borderId="14" xfId="0" applyNumberFormat="1" applyFont="1" applyBorder="1" applyAlignment="1">
      <alignment horizontal="center" vertical="center"/>
    </xf>
    <xf numFmtId="1" fontId="3" fillId="0" borderId="14" xfId="1" applyNumberFormat="1" applyFont="1" applyBorder="1" applyAlignment="1">
      <alignment horizontal="center" vertical="center"/>
    </xf>
    <xf numFmtId="1" fontId="3" fillId="0" borderId="27" xfId="0" applyNumberFormat="1" applyFont="1" applyBorder="1" applyAlignment="1">
      <alignment horizontal="center" vertical="center"/>
    </xf>
    <xf numFmtId="1" fontId="3" fillId="0" borderId="27" xfId="0" applyNumberFormat="1" applyFont="1" applyBorder="1" applyAlignment="1">
      <alignment horizontal="center" wrapText="1"/>
    </xf>
    <xf numFmtId="1" fontId="10" fillId="0" borderId="14" xfId="1" applyNumberFormat="1" applyFont="1" applyFill="1" applyBorder="1" applyAlignment="1">
      <alignment horizontal="center"/>
    </xf>
    <xf numFmtId="1" fontId="10" fillId="0" borderId="14" xfId="0" applyNumberFormat="1" applyFont="1" applyBorder="1" applyAlignment="1">
      <alignment horizontal="center"/>
    </xf>
    <xf numFmtId="173" fontId="3" fillId="0" borderId="5" xfId="0" applyNumberFormat="1" applyFont="1" applyBorder="1" applyAlignment="1">
      <alignment horizontal="center"/>
    </xf>
    <xf numFmtId="0" fontId="9" fillId="0" borderId="11" xfId="0" applyFont="1" applyBorder="1" applyAlignment="1">
      <alignment horizontal="center" vertical="center" wrapText="1"/>
    </xf>
    <xf numFmtId="1" fontId="3" fillId="0" borderId="5" xfId="1" applyNumberFormat="1" applyFont="1" applyBorder="1" applyAlignment="1">
      <alignment horizontal="center" vertical="center"/>
    </xf>
    <xf numFmtId="1" fontId="3" fillId="0" borderId="5" xfId="0" applyNumberFormat="1" applyFont="1" applyBorder="1" applyAlignment="1">
      <alignment horizontal="center" vertical="center"/>
    </xf>
    <xf numFmtId="1" fontId="3" fillId="0" borderId="11" xfId="0" applyNumberFormat="1" applyFont="1" applyBorder="1" applyAlignment="1">
      <alignment horizontal="center" vertical="center"/>
    </xf>
    <xf numFmtId="14" fontId="8" fillId="3" borderId="9" xfId="0" applyNumberFormat="1" applyFont="1" applyFill="1" applyBorder="1" applyAlignment="1">
      <alignment horizontal="center" vertical="center"/>
    </xf>
    <xf numFmtId="1" fontId="4" fillId="4" borderId="27" xfId="46" applyNumberFormat="1" applyFont="1" applyFill="1" applyBorder="1" applyAlignment="1">
      <alignment horizontal="center" vertical="center"/>
    </xf>
    <xf numFmtId="1" fontId="4" fillId="4" borderId="14" xfId="1" applyNumberFormat="1" applyFont="1" applyFill="1" applyBorder="1" applyAlignment="1">
      <alignment horizontal="center" vertical="center"/>
    </xf>
    <xf numFmtId="1" fontId="4" fillId="4" borderId="14" xfId="46" applyNumberFormat="1" applyFont="1" applyFill="1" applyBorder="1" applyAlignment="1">
      <alignment horizontal="center" vertical="center"/>
    </xf>
    <xf numFmtId="1" fontId="3" fillId="4" borderId="6" xfId="0" applyNumberFormat="1" applyFont="1" applyFill="1" applyBorder="1" applyAlignment="1">
      <alignment horizontal="center"/>
    </xf>
    <xf numFmtId="2" fontId="9" fillId="0" borderId="6" xfId="0" applyNumberFormat="1" applyFont="1" applyBorder="1" applyAlignment="1">
      <alignment horizontal="center" vertical="top" wrapText="1"/>
    </xf>
    <xf numFmtId="2" fontId="9" fillId="0" borderId="9" xfId="0" applyNumberFormat="1" applyFont="1" applyBorder="1" applyAlignment="1">
      <alignment horizontal="center" vertical="top" wrapText="1"/>
    </xf>
    <xf numFmtId="2" fontId="3" fillId="0" borderId="10" xfId="0" applyNumberFormat="1" applyFont="1" applyBorder="1" applyAlignment="1">
      <alignment horizontal="center" vertical="top"/>
    </xf>
    <xf numFmtId="2" fontId="9" fillId="0" borderId="14" xfId="0" applyNumberFormat="1" applyFont="1" applyBorder="1" applyAlignment="1">
      <alignment horizontal="center" vertical="top" wrapText="1"/>
    </xf>
    <xf numFmtId="2" fontId="9" fillId="0" borderId="0" xfId="0" applyNumberFormat="1" applyFont="1" applyAlignment="1">
      <alignment horizontal="center" vertical="top" wrapText="1"/>
    </xf>
    <xf numFmtId="2" fontId="3" fillId="0" borderId="14" xfId="0" applyNumberFormat="1" applyFont="1" applyBorder="1" applyAlignment="1">
      <alignment horizontal="center" vertical="top" wrapText="1"/>
    </xf>
    <xf numFmtId="2" fontId="3" fillId="0" borderId="0" xfId="0" applyNumberFormat="1" applyFont="1" applyAlignment="1">
      <alignment horizontal="center" vertical="top"/>
    </xf>
    <xf numFmtId="1" fontId="4" fillId="4" borderId="27" xfId="46" applyNumberFormat="1" applyFont="1" applyFill="1" applyBorder="1" applyAlignment="1">
      <alignment horizontal="center" vertical="center" wrapText="1"/>
    </xf>
    <xf numFmtId="0" fontId="3" fillId="3" borderId="14" xfId="0" applyFont="1" applyFill="1" applyBorder="1" applyAlignment="1">
      <alignment horizontal="center" vertical="center"/>
    </xf>
    <xf numFmtId="0" fontId="3" fillId="3" borderId="27" xfId="0" applyFont="1" applyFill="1" applyBorder="1" applyAlignment="1">
      <alignment horizontal="center"/>
    </xf>
    <xf numFmtId="0" fontId="3" fillId="3" borderId="14" xfId="0" applyFont="1" applyFill="1" applyBorder="1" applyAlignment="1">
      <alignment horizontal="center"/>
    </xf>
    <xf numFmtId="0" fontId="3" fillId="3" borderId="0" xfId="0" applyFont="1" applyFill="1" applyAlignment="1">
      <alignment horizontal="center"/>
    </xf>
    <xf numFmtId="1" fontId="3" fillId="3" borderId="27" xfId="0" applyNumberFormat="1" applyFont="1" applyFill="1" applyBorder="1" applyAlignment="1">
      <alignment horizontal="center" wrapText="1"/>
    </xf>
    <xf numFmtId="1" fontId="4" fillId="3" borderId="14" xfId="1" applyNumberFormat="1" applyFont="1" applyFill="1" applyBorder="1" applyAlignment="1">
      <alignment horizontal="center" vertical="center"/>
    </xf>
    <xf numFmtId="1" fontId="4" fillId="3" borderId="14" xfId="46" applyNumberFormat="1" applyFont="1" applyFill="1" applyBorder="1" applyAlignment="1">
      <alignment horizontal="center" vertical="center"/>
    </xf>
    <xf numFmtId="1" fontId="4" fillId="3" borderId="27" xfId="46" applyNumberFormat="1" applyFont="1" applyFill="1" applyBorder="1" applyAlignment="1">
      <alignment horizontal="center" vertical="center"/>
    </xf>
    <xf numFmtId="1" fontId="3" fillId="4" borderId="5" xfId="0" applyNumberFormat="1" applyFont="1" applyFill="1" applyBorder="1" applyAlignment="1">
      <alignment horizontal="center"/>
    </xf>
    <xf numFmtId="2" fontId="3" fillId="0" borderId="5" xfId="0" applyNumberFormat="1" applyFont="1" applyBorder="1" applyAlignment="1">
      <alignment horizontal="center" vertical="top" wrapText="1"/>
    </xf>
    <xf numFmtId="2" fontId="9" fillId="0" borderId="1" xfId="0" applyNumberFormat="1" applyFont="1" applyBorder="1" applyAlignment="1">
      <alignment horizontal="center" vertical="top" wrapText="1"/>
    </xf>
    <xf numFmtId="2" fontId="3" fillId="0" borderId="12" xfId="0" applyNumberFormat="1" applyFont="1" applyBorder="1" applyAlignment="1">
      <alignment horizontal="center" vertical="top"/>
    </xf>
    <xf numFmtId="1" fontId="3" fillId="0" borderId="8" xfId="0" applyNumberFormat="1" applyFont="1" applyBorder="1" applyAlignment="1">
      <alignment horizontal="center" wrapText="1"/>
    </xf>
    <xf numFmtId="165" fontId="3" fillId="0" borderId="6" xfId="1" applyNumberFormat="1" applyFont="1" applyFill="1" applyBorder="1" applyAlignment="1">
      <alignment horizontal="center"/>
    </xf>
    <xf numFmtId="1" fontId="3" fillId="0" borderId="6" xfId="43" applyNumberFormat="1" applyFont="1" applyFill="1" applyBorder="1" applyAlignment="1">
      <alignment horizontal="center"/>
    </xf>
    <xf numFmtId="165" fontId="3" fillId="0" borderId="14" xfId="1" applyNumberFormat="1" applyFont="1" applyFill="1" applyBorder="1" applyAlignment="1">
      <alignment horizontal="center"/>
    </xf>
    <xf numFmtId="1" fontId="3" fillId="0" borderId="14" xfId="43" applyNumberFormat="1" applyFont="1" applyFill="1" applyBorder="1" applyAlignment="1">
      <alignment horizontal="center"/>
    </xf>
    <xf numFmtId="0" fontId="3" fillId="0" borderId="2" xfId="0" applyFont="1" applyBorder="1" applyAlignment="1">
      <alignment horizontal="center" vertical="center"/>
    </xf>
    <xf numFmtId="0" fontId="3" fillId="0" borderId="4" xfId="0" applyFont="1" applyBorder="1" applyAlignment="1">
      <alignment horizontal="center" vertical="center"/>
    </xf>
    <xf numFmtId="1" fontId="3" fillId="0" borderId="15" xfId="0" applyNumberFormat="1" applyFont="1" applyBorder="1" applyAlignment="1">
      <alignment horizontal="center" vertical="center"/>
    </xf>
    <xf numFmtId="1" fontId="4" fillId="0" borderId="4" xfId="46" applyNumberFormat="1" applyFont="1" applyBorder="1" applyAlignment="1">
      <alignment horizontal="center" vertical="center" wrapText="1"/>
    </xf>
    <xf numFmtId="165" fontId="3" fillId="0" borderId="2" xfId="1" applyNumberFormat="1" applyFont="1" applyFill="1" applyBorder="1" applyAlignment="1">
      <alignment horizontal="center"/>
    </xf>
    <xf numFmtId="1" fontId="3" fillId="0" borderId="2" xfId="43" applyNumberFormat="1" applyFont="1" applyFill="1" applyBorder="1" applyAlignment="1">
      <alignment horizontal="center"/>
    </xf>
    <xf numFmtId="0" fontId="3" fillId="0" borderId="5" xfId="0" applyFont="1" applyBorder="1" applyAlignment="1">
      <alignment horizontal="center" vertical="center"/>
    </xf>
    <xf numFmtId="165" fontId="3" fillId="0" borderId="5" xfId="1" applyNumberFormat="1" applyFont="1" applyFill="1" applyBorder="1" applyAlignment="1">
      <alignment horizontal="center" vertical="center"/>
    </xf>
    <xf numFmtId="1" fontId="3" fillId="0" borderId="5" xfId="43" applyNumberFormat="1" applyFont="1" applyFill="1" applyBorder="1" applyAlignment="1">
      <alignment horizontal="center" vertical="center"/>
    </xf>
    <xf numFmtId="0" fontId="3" fillId="0" borderId="6" xfId="0" applyFont="1" applyBorder="1" applyAlignment="1">
      <alignment horizontal="center" vertical="center"/>
    </xf>
    <xf numFmtId="0" fontId="3" fillId="0" borderId="9" xfId="0" applyFont="1" applyBorder="1" applyAlignment="1">
      <alignment horizontal="center" vertical="center"/>
    </xf>
    <xf numFmtId="165" fontId="9" fillId="0" borderId="6" xfId="1" applyNumberFormat="1" applyFont="1" applyBorder="1" applyAlignment="1">
      <alignment horizontal="center" vertical="center" wrapText="1"/>
    </xf>
    <xf numFmtId="0" fontId="3" fillId="0" borderId="14" xfId="0" applyFont="1" applyBorder="1" applyAlignment="1">
      <alignment horizontal="center" vertical="center"/>
    </xf>
    <xf numFmtId="165" fontId="9" fillId="0" borderId="14" xfId="1" applyNumberFormat="1" applyFont="1" applyBorder="1" applyAlignment="1">
      <alignment horizontal="center" vertical="center" wrapText="1"/>
    </xf>
    <xf numFmtId="179" fontId="9" fillId="0" borderId="14" xfId="1" applyNumberFormat="1" applyFont="1" applyBorder="1" applyAlignment="1">
      <alignment horizontal="center" vertical="center" wrapText="1"/>
    </xf>
    <xf numFmtId="168" fontId="9" fillId="0" borderId="14" xfId="0" applyNumberFormat="1" applyFont="1" applyBorder="1" applyAlignment="1">
      <alignment horizontal="center" vertical="center" wrapText="1"/>
    </xf>
    <xf numFmtId="168" fontId="9" fillId="0" borderId="27" xfId="0" applyNumberFormat="1" applyFont="1" applyBorder="1" applyAlignment="1">
      <alignment horizontal="center" vertical="center" wrapText="1"/>
    </xf>
    <xf numFmtId="173" fontId="3" fillId="0" borderId="14" xfId="0" applyNumberFormat="1" applyFont="1" applyBorder="1" applyAlignment="1">
      <alignment horizontal="center"/>
    </xf>
    <xf numFmtId="173" fontId="3" fillId="0" borderId="0" xfId="0" applyNumberFormat="1" applyFont="1" applyAlignment="1">
      <alignment horizontal="center"/>
    </xf>
    <xf numFmtId="165" fontId="9" fillId="0" borderId="5" xfId="1" applyNumberFormat="1" applyFont="1" applyBorder="1" applyAlignment="1">
      <alignment horizontal="center" vertical="center" wrapText="1"/>
    </xf>
    <xf numFmtId="0" fontId="3" fillId="0" borderId="6" xfId="0" applyFont="1" applyBorder="1"/>
    <xf numFmtId="1" fontId="3" fillId="0" borderId="6" xfId="0" applyNumberFormat="1" applyFont="1" applyBorder="1" applyAlignment="1">
      <alignment horizontal="right"/>
    </xf>
    <xf numFmtId="165" fontId="3" fillId="0" borderId="6" xfId="1" applyNumberFormat="1" applyFont="1" applyBorder="1" applyAlignment="1">
      <alignment horizontal="right"/>
    </xf>
    <xf numFmtId="1" fontId="3" fillId="0" borderId="6" xfId="0" applyNumberFormat="1" applyFont="1" applyBorder="1"/>
    <xf numFmtId="1" fontId="3" fillId="0" borderId="8" xfId="0" applyNumberFormat="1" applyFont="1" applyBorder="1"/>
    <xf numFmtId="0" fontId="3" fillId="0" borderId="5" xfId="0" applyFont="1" applyBorder="1"/>
    <xf numFmtId="165" fontId="9" fillId="0" borderId="5" xfId="1" applyNumberFormat="1" applyFont="1" applyBorder="1" applyAlignment="1">
      <alignment horizontal="right" vertical="center" wrapText="1"/>
    </xf>
    <xf numFmtId="165" fontId="9" fillId="0" borderId="5" xfId="1" applyNumberFormat="1" applyFont="1" applyBorder="1" applyAlignment="1">
      <alignment vertical="center" wrapText="1"/>
    </xf>
    <xf numFmtId="165" fontId="9" fillId="0" borderId="11" xfId="1" applyNumberFormat="1" applyFont="1" applyBorder="1" applyAlignment="1">
      <alignment vertical="center" wrapText="1"/>
    </xf>
    <xf numFmtId="1" fontId="3" fillId="0" borderId="0" xfId="48" applyNumberFormat="1" applyFont="1" applyAlignment="1">
      <alignment horizontal="center"/>
    </xf>
    <xf numFmtId="1" fontId="3" fillId="0" borderId="14" xfId="48" applyNumberFormat="1" applyFont="1" applyBorder="1" applyAlignment="1">
      <alignment horizontal="center"/>
    </xf>
    <xf numFmtId="165" fontId="3" fillId="0" borderId="14" xfId="1" applyNumberFormat="1" applyFont="1" applyBorder="1" applyAlignment="1">
      <alignment horizontal="center"/>
    </xf>
    <xf numFmtId="1" fontId="10" fillId="0" borderId="8" xfId="0" applyNumberFormat="1" applyFont="1" applyBorder="1" applyAlignment="1">
      <alignment horizontal="center"/>
    </xf>
    <xf numFmtId="1" fontId="10" fillId="0" borderId="6" xfId="0" applyNumberFormat="1" applyFont="1" applyBorder="1" applyAlignment="1">
      <alignment horizontal="center"/>
    </xf>
    <xf numFmtId="165" fontId="3" fillId="0" borderId="6" xfId="1" applyNumberFormat="1" applyFont="1" applyBorder="1" applyAlignment="1">
      <alignment horizontal="center"/>
    </xf>
    <xf numFmtId="1" fontId="4" fillId="0" borderId="27" xfId="48" applyNumberFormat="1" applyFont="1" applyBorder="1" applyAlignment="1">
      <alignment horizontal="center" vertical="center" wrapText="1"/>
    </xf>
    <xf numFmtId="1" fontId="8" fillId="4" borderId="27" xfId="0" applyNumberFormat="1" applyFont="1" applyFill="1" applyBorder="1" applyAlignment="1">
      <alignment horizontal="center" vertical="center" wrapText="1"/>
    </xf>
    <xf numFmtId="165" fontId="10" fillId="4" borderId="14" xfId="1" applyNumberFormat="1" applyFont="1" applyFill="1" applyBorder="1" applyAlignment="1">
      <alignment horizontal="center" vertical="center"/>
    </xf>
    <xf numFmtId="1" fontId="10" fillId="4" borderId="14" xfId="0" applyNumberFormat="1" applyFont="1" applyFill="1" applyBorder="1" applyAlignment="1">
      <alignment horizontal="center" vertical="center"/>
    </xf>
    <xf numFmtId="9" fontId="3" fillId="0" borderId="0" xfId="3" applyFont="1" applyAlignment="1">
      <alignment horizontal="center"/>
    </xf>
    <xf numFmtId="0" fontId="3" fillId="17" borderId="6" xfId="0" applyFont="1" applyFill="1" applyBorder="1"/>
    <xf numFmtId="0" fontId="3" fillId="17" borderId="6" xfId="0" applyFont="1" applyFill="1" applyBorder="1" applyAlignment="1">
      <alignment horizontal="center"/>
    </xf>
    <xf numFmtId="0" fontId="3" fillId="19" borderId="27" xfId="0" applyFont="1" applyFill="1" applyBorder="1" applyAlignment="1">
      <alignment horizontal="center" vertical="top" wrapText="1"/>
    </xf>
    <xf numFmtId="180" fontId="9" fillId="0" borderId="0" xfId="3" applyNumberFormat="1" applyFont="1" applyFill="1" applyBorder="1" applyAlignment="1">
      <alignment horizontal="center" vertical="center"/>
    </xf>
    <xf numFmtId="0" fontId="3" fillId="0" borderId="15" xfId="0" applyFont="1" applyBorder="1"/>
    <xf numFmtId="0" fontId="2" fillId="4" borderId="0" xfId="0" applyFont="1" applyFill="1" applyAlignment="1">
      <alignment horizontal="center"/>
    </xf>
    <xf numFmtId="167" fontId="0" fillId="25" borderId="0" xfId="0" applyNumberFormat="1" applyFill="1" applyAlignment="1">
      <alignment horizontal="center"/>
    </xf>
    <xf numFmtId="0" fontId="4" fillId="0" borderId="0" xfId="0" applyFont="1" applyAlignment="1" applyProtection="1">
      <alignment horizontal="center" vertical="center"/>
      <protection locked="0"/>
    </xf>
    <xf numFmtId="1" fontId="4" fillId="0" borderId="26" xfId="0" applyNumberFormat="1" applyFont="1" applyBorder="1" applyAlignment="1">
      <alignment horizontal="center" vertical="center"/>
    </xf>
    <xf numFmtId="1" fontId="7" fillId="25" borderId="7" xfId="0" applyNumberFormat="1" applyFont="1" applyFill="1" applyBorder="1" applyAlignment="1">
      <alignment horizontal="center" vertical="center"/>
    </xf>
    <xf numFmtId="1" fontId="7" fillId="21" borderId="7" xfId="0" applyNumberFormat="1" applyFont="1" applyFill="1" applyBorder="1" applyAlignment="1">
      <alignment horizontal="center" vertical="center"/>
    </xf>
    <xf numFmtId="0" fontId="3" fillId="25" borderId="15" xfId="0" applyFont="1" applyFill="1" applyBorder="1" applyAlignment="1">
      <alignment horizontal="center"/>
    </xf>
    <xf numFmtId="167" fontId="3" fillId="25" borderId="7" xfId="0" applyNumberFormat="1" applyFont="1" applyFill="1" applyBorder="1" applyAlignment="1">
      <alignment horizontal="center"/>
    </xf>
    <xf numFmtId="0" fontId="3" fillId="25" borderId="2" xfId="0" applyFont="1" applyFill="1" applyBorder="1" applyAlignment="1">
      <alignment horizontal="center"/>
    </xf>
    <xf numFmtId="0" fontId="7" fillId="0" borderId="27" xfId="42" applyFont="1" applyBorder="1" applyAlignment="1">
      <alignment horizontal="center" vertical="center"/>
    </xf>
    <xf numFmtId="9" fontId="4" fillId="0" borderId="0" xfId="42" applyNumberFormat="1" applyAlignment="1">
      <alignment horizontal="center" vertical="center"/>
    </xf>
    <xf numFmtId="9" fontId="4" fillId="0" borderId="26" xfId="42" applyNumberFormat="1" applyBorder="1" applyAlignment="1">
      <alignment horizontal="center" vertical="center"/>
    </xf>
    <xf numFmtId="0" fontId="7" fillId="0" borderId="26" xfId="42" applyFont="1" applyBorder="1" applyAlignment="1">
      <alignment horizontal="center" vertical="center"/>
    </xf>
    <xf numFmtId="0" fontId="7" fillId="0" borderId="11" xfId="42" applyFont="1" applyBorder="1" applyAlignment="1">
      <alignment horizontal="center" vertical="center"/>
    </xf>
    <xf numFmtId="0" fontId="7" fillId="0" borderId="27" xfId="44" applyFont="1" applyBorder="1" applyAlignment="1">
      <alignment vertical="center"/>
    </xf>
    <xf numFmtId="2" fontId="7" fillId="0" borderId="26" xfId="44" applyNumberFormat="1" applyFont="1" applyBorder="1" applyAlignment="1">
      <alignment horizontal="center" vertical="center"/>
    </xf>
    <xf numFmtId="0" fontId="4" fillId="0" borderId="26" xfId="44" applyBorder="1" applyAlignment="1">
      <alignment horizontal="center" vertical="center"/>
    </xf>
    <xf numFmtId="0" fontId="4" fillId="0" borderId="27" xfId="44" applyBorder="1" applyAlignment="1">
      <alignment vertical="center"/>
    </xf>
    <xf numFmtId="2" fontId="4" fillId="0" borderId="26" xfId="44" applyNumberFormat="1" applyBorder="1" applyAlignment="1">
      <alignment horizontal="center" vertical="center"/>
    </xf>
    <xf numFmtId="0" fontId="7" fillId="0" borderId="27" xfId="44" applyFont="1" applyBorder="1" applyAlignment="1">
      <alignment horizontal="center" vertical="center"/>
    </xf>
    <xf numFmtId="0" fontId="7" fillId="0" borderId="11" xfId="44" applyFont="1" applyBorder="1" applyAlignment="1">
      <alignment vertical="center"/>
    </xf>
    <xf numFmtId="10" fontId="7" fillId="0" borderId="12" xfId="52" applyNumberFormat="1" applyFont="1" applyBorder="1" applyAlignment="1">
      <alignment horizontal="center" vertical="center"/>
    </xf>
    <xf numFmtId="0" fontId="45" fillId="0" borderId="26" xfId="44" applyFont="1" applyBorder="1" applyAlignment="1">
      <alignment vertical="center"/>
    </xf>
    <xf numFmtId="10" fontId="7" fillId="0" borderId="1" xfId="52" applyNumberFormat="1" applyFont="1" applyBorder="1" applyAlignment="1">
      <alignment horizontal="center" vertical="center"/>
    </xf>
    <xf numFmtId="0" fontId="4" fillId="0" borderId="1" xfId="44" applyBorder="1"/>
    <xf numFmtId="0" fontId="4" fillId="0" borderId="0" xfId="44" applyAlignment="1">
      <alignment horizontal="center"/>
    </xf>
    <xf numFmtId="0" fontId="4" fillId="0" borderId="26" xfId="44" applyBorder="1" applyAlignment="1">
      <alignment horizontal="center"/>
    </xf>
    <xf numFmtId="0" fontId="4" fillId="0" borderId="6" xfId="44" applyBorder="1" applyAlignment="1">
      <alignment horizontal="center"/>
    </xf>
    <xf numFmtId="0" fontId="4" fillId="0" borderId="14" xfId="44" applyBorder="1" applyAlignment="1">
      <alignment horizontal="center"/>
    </xf>
    <xf numFmtId="0" fontId="4" fillId="0" borderId="5" xfId="44" applyBorder="1" applyAlignment="1">
      <alignment horizontal="center"/>
    </xf>
    <xf numFmtId="0" fontId="4" fillId="26" borderId="2" xfId="44" applyFill="1" applyBorder="1"/>
    <xf numFmtId="2" fontId="4" fillId="0" borderId="26" xfId="42" applyNumberFormat="1" applyBorder="1" applyAlignment="1">
      <alignment horizontal="center" vertical="center"/>
    </xf>
    <xf numFmtId="2" fontId="4" fillId="0" borderId="1" xfId="42" applyNumberFormat="1" applyBorder="1" applyAlignment="1">
      <alignment horizontal="center" vertical="center"/>
    </xf>
    <xf numFmtId="2" fontId="4" fillId="0" borderId="12" xfId="42" applyNumberFormat="1" applyBorder="1" applyAlignment="1">
      <alignment horizontal="center" vertical="center"/>
    </xf>
    <xf numFmtId="1" fontId="10" fillId="3" borderId="4" xfId="0" applyNumberFormat="1" applyFont="1" applyFill="1" applyBorder="1" applyAlignment="1">
      <alignment horizontal="center"/>
    </xf>
    <xf numFmtId="1" fontId="10" fillId="3" borderId="7" xfId="0" applyNumberFormat="1" applyFont="1" applyFill="1" applyBorder="1" applyAlignment="1">
      <alignment horizontal="center"/>
    </xf>
    <xf numFmtId="10" fontId="3" fillId="0" borderId="8" xfId="0" applyNumberFormat="1" applyFont="1" applyBorder="1" applyAlignment="1">
      <alignment horizontal="center"/>
    </xf>
    <xf numFmtId="10" fontId="3" fillId="0" borderId="10" xfId="0" applyNumberFormat="1" applyFont="1" applyBorder="1" applyAlignment="1">
      <alignment horizontal="center"/>
    </xf>
    <xf numFmtId="0" fontId="10" fillId="17" borderId="4" xfId="4" applyNumberFormat="1" applyFont="1" applyFill="1" applyBorder="1" applyAlignment="1">
      <alignment horizontal="center" vertical="center"/>
    </xf>
    <xf numFmtId="2" fontId="10" fillId="17" borderId="11" xfId="0" applyNumberFormat="1" applyFont="1" applyFill="1" applyBorder="1" applyAlignment="1">
      <alignment horizontal="center" vertical="center"/>
    </xf>
    <xf numFmtId="2" fontId="10" fillId="17" borderId="12" xfId="0" applyNumberFormat="1" applyFont="1" applyFill="1" applyBorder="1" applyAlignment="1">
      <alignment horizontal="center" vertical="center"/>
    </xf>
    <xf numFmtId="2" fontId="10" fillId="0" borderId="27" xfId="0" applyNumberFormat="1" applyFont="1" applyBorder="1" applyAlignment="1">
      <alignment horizontal="center" vertical="center"/>
    </xf>
    <xf numFmtId="2" fontId="10" fillId="0" borderId="26" xfId="0" applyNumberFormat="1" applyFont="1" applyBorder="1" applyAlignment="1">
      <alignment horizontal="center" vertical="center"/>
    </xf>
    <xf numFmtId="2" fontId="3" fillId="0" borderId="8" xfId="0" applyNumberFormat="1" applyFont="1" applyBorder="1" applyAlignment="1">
      <alignment horizontal="center"/>
    </xf>
    <xf numFmtId="2" fontId="3" fillId="0" borderId="10" xfId="0" applyNumberFormat="1" applyFont="1" applyBorder="1" applyAlignment="1">
      <alignment horizontal="center"/>
    </xf>
    <xf numFmtId="0" fontId="10" fillId="4" borderId="1" xfId="0" applyFont="1" applyFill="1" applyBorder="1" applyAlignment="1">
      <alignment horizontal="center"/>
    </xf>
    <xf numFmtId="1" fontId="10" fillId="4" borderId="1" xfId="0" applyNumberFormat="1" applyFont="1" applyFill="1" applyBorder="1" applyAlignment="1">
      <alignment horizontal="center"/>
    </xf>
    <xf numFmtId="2" fontId="10" fillId="0" borderId="11" xfId="0" applyNumberFormat="1" applyFont="1" applyBorder="1" applyAlignment="1">
      <alignment horizontal="center"/>
    </xf>
    <xf numFmtId="2" fontId="10" fillId="0" borderId="12" xfId="0" applyNumberFormat="1" applyFont="1" applyBorder="1" applyAlignment="1">
      <alignment horizontal="center"/>
    </xf>
    <xf numFmtId="0" fontId="7" fillId="0" borderId="0" xfId="0" applyFont="1" applyAlignment="1">
      <alignment horizontal="center" vertical="center"/>
    </xf>
    <xf numFmtId="3" fontId="9" fillId="0" borderId="1" xfId="0" applyNumberFormat="1" applyFont="1" applyBorder="1" applyAlignment="1">
      <alignment horizontal="center" vertical="center"/>
    </xf>
    <xf numFmtId="10" fontId="9" fillId="0" borderId="1" xfId="3" applyNumberFormat="1" applyFont="1" applyFill="1" applyBorder="1" applyAlignment="1">
      <alignment horizontal="center" vertical="center"/>
    </xf>
    <xf numFmtId="10" fontId="9" fillId="0" borderId="11" xfId="3" applyNumberFormat="1" applyFont="1" applyFill="1" applyBorder="1" applyAlignment="1">
      <alignment horizontal="center" vertical="center"/>
    </xf>
    <xf numFmtId="10" fontId="9" fillId="0" borderId="12" xfId="3" applyNumberFormat="1" applyFont="1" applyFill="1" applyBorder="1" applyAlignment="1">
      <alignment horizontal="center" vertical="center"/>
    </xf>
    <xf numFmtId="2" fontId="8" fillId="0" borderId="8" xfId="0" applyNumberFormat="1" applyFont="1" applyBorder="1" applyAlignment="1">
      <alignment horizontal="center" vertical="center"/>
    </xf>
    <xf numFmtId="2" fontId="8" fillId="0" borderId="10" xfId="0" applyNumberFormat="1" applyFont="1" applyBorder="1" applyAlignment="1">
      <alignment horizontal="center" vertical="center"/>
    </xf>
    <xf numFmtId="2" fontId="8" fillId="0" borderId="11" xfId="0" applyNumberFormat="1" applyFont="1" applyBorder="1" applyAlignment="1">
      <alignment horizontal="center" vertical="center"/>
    </xf>
    <xf numFmtId="2" fontId="3" fillId="0" borderId="27" xfId="0" applyNumberFormat="1" applyFont="1" applyBorder="1" applyAlignment="1">
      <alignment horizontal="center"/>
    </xf>
    <xf numFmtId="2" fontId="8" fillId="0" borderId="4" xfId="0" applyNumberFormat="1" applyFont="1" applyBorder="1" applyAlignment="1">
      <alignment horizontal="center" vertical="center"/>
    </xf>
    <xf numFmtId="2" fontId="8" fillId="0" borderId="7" xfId="0" applyNumberFormat="1" applyFont="1" applyBorder="1" applyAlignment="1">
      <alignment horizontal="center" vertical="center"/>
    </xf>
    <xf numFmtId="2" fontId="9" fillId="0" borderId="27" xfId="0" applyNumberFormat="1" applyFont="1" applyBorder="1" applyAlignment="1">
      <alignment horizontal="center" vertical="center"/>
    </xf>
    <xf numFmtId="2" fontId="9" fillId="0" borderId="26" xfId="0" applyNumberFormat="1" applyFont="1" applyBorder="1" applyAlignment="1">
      <alignment horizontal="center" vertical="center"/>
    </xf>
    <xf numFmtId="0" fontId="10" fillId="0" borderId="0" xfId="0" applyFont="1" applyAlignment="1">
      <alignment horizontal="center" vertical="center"/>
    </xf>
    <xf numFmtId="2" fontId="9" fillId="0" borderId="27" xfId="6" applyNumberFormat="1" applyFont="1" applyFill="1" applyBorder="1" applyAlignment="1">
      <alignment horizontal="center" vertical="center"/>
    </xf>
    <xf numFmtId="2" fontId="9" fillId="0" borderId="26" xfId="6" applyNumberFormat="1" applyFont="1" applyFill="1" applyBorder="1" applyAlignment="1">
      <alignment horizontal="center" vertical="center"/>
    </xf>
    <xf numFmtId="2" fontId="9" fillId="0" borderId="11" xfId="6" applyNumberFormat="1" applyFont="1" applyFill="1" applyBorder="1" applyAlignment="1">
      <alignment horizontal="center" vertical="center"/>
    </xf>
    <xf numFmtId="2" fontId="9" fillId="0" borderId="12" xfId="6" applyNumberFormat="1" applyFont="1" applyFill="1" applyBorder="1" applyAlignment="1">
      <alignment horizontal="center" vertical="center"/>
    </xf>
    <xf numFmtId="0" fontId="7" fillId="0" borderId="8" xfId="5" applyFont="1" applyFill="1" applyBorder="1" applyAlignment="1">
      <alignment horizontal="center" vertical="center"/>
    </xf>
    <xf numFmtId="0" fontId="7" fillId="0" borderId="9" xfId="5" applyFont="1" applyFill="1" applyBorder="1" applyAlignment="1">
      <alignment horizontal="center" vertical="center"/>
    </xf>
    <xf numFmtId="2" fontId="8" fillId="0" borderId="9" xfId="6" applyNumberFormat="1" applyFont="1" applyFill="1" applyBorder="1" applyAlignment="1">
      <alignment horizontal="center" vertical="center"/>
    </xf>
    <xf numFmtId="2" fontId="9" fillId="0" borderId="10" xfId="0" applyNumberFormat="1" applyFont="1" applyBorder="1" applyAlignment="1">
      <alignment horizontal="center" vertical="center"/>
    </xf>
    <xf numFmtId="0" fontId="7" fillId="0" borderId="27" xfId="0" applyFont="1" applyBorder="1" applyAlignment="1">
      <alignment horizontal="center" vertical="center"/>
    </xf>
    <xf numFmtId="10" fontId="8" fillId="0" borderId="0" xfId="3" applyNumberFormat="1" applyFont="1" applyFill="1" applyBorder="1" applyAlignment="1">
      <alignment horizontal="center" vertical="center"/>
    </xf>
    <xf numFmtId="0" fontId="7" fillId="0" borderId="11" xfId="0" applyFont="1" applyBorder="1" applyAlignment="1">
      <alignment horizontal="center" vertical="center"/>
    </xf>
    <xf numFmtId="0" fontId="7" fillId="0" borderId="1" xfId="0" applyFont="1" applyBorder="1" applyAlignment="1">
      <alignment horizontal="center" vertical="center"/>
    </xf>
    <xf numFmtId="2" fontId="7" fillId="0" borderId="1" xfId="6" applyNumberFormat="1" applyFont="1" applyFill="1" applyBorder="1" applyAlignment="1">
      <alignment horizontal="center" vertical="center"/>
    </xf>
    <xf numFmtId="2" fontId="9" fillId="0" borderId="12" xfId="0" applyNumberFormat="1" applyFont="1" applyBorder="1" applyAlignment="1">
      <alignment horizontal="center" vertical="center"/>
    </xf>
    <xf numFmtId="0" fontId="7" fillId="0" borderId="4" xfId="0" applyFont="1" applyBorder="1" applyAlignment="1">
      <alignment horizontal="center" vertical="center"/>
    </xf>
    <xf numFmtId="0" fontId="7" fillId="0" borderId="15" xfId="0" applyFont="1" applyBorder="1" applyAlignment="1">
      <alignment horizontal="center" vertical="center"/>
    </xf>
    <xf numFmtId="2" fontId="9" fillId="0" borderId="7" xfId="0" applyNumberFormat="1" applyFont="1" applyBorder="1" applyAlignment="1">
      <alignment horizontal="center" vertical="center"/>
    </xf>
    <xf numFmtId="2" fontId="3" fillId="0" borderId="27" xfId="6" applyNumberFormat="1" applyFont="1" applyFill="1" applyBorder="1" applyAlignment="1">
      <alignment horizontal="center"/>
    </xf>
    <xf numFmtId="0" fontId="10" fillId="0" borderId="1" xfId="0" applyFont="1" applyBorder="1" applyAlignment="1">
      <alignment horizontal="center"/>
    </xf>
    <xf numFmtId="3" fontId="9" fillId="0" borderId="1" xfId="0" applyNumberFormat="1" applyFont="1" applyBorder="1" applyAlignment="1">
      <alignment horizontal="right" vertical="center"/>
    </xf>
    <xf numFmtId="2" fontId="3" fillId="0" borderId="1" xfId="6" applyNumberFormat="1" applyFont="1" applyFill="1" applyBorder="1" applyAlignment="1">
      <alignment horizontal="center"/>
    </xf>
    <xf numFmtId="2" fontId="3" fillId="0" borderId="11" xfId="6" applyNumberFormat="1" applyFont="1" applyFill="1" applyBorder="1" applyAlignment="1">
      <alignment horizontal="center"/>
    </xf>
    <xf numFmtId="2" fontId="3" fillId="0" borderId="12" xfId="6" applyNumberFormat="1" applyFont="1" applyFill="1" applyBorder="1" applyAlignment="1">
      <alignment horizontal="center"/>
    </xf>
    <xf numFmtId="3" fontId="9" fillId="0" borderId="0" xfId="0" applyNumberFormat="1" applyFont="1" applyAlignment="1">
      <alignment horizontal="right" vertical="center"/>
    </xf>
    <xf numFmtId="0" fontId="7" fillId="0" borderId="0" xfId="0" applyFont="1"/>
    <xf numFmtId="0" fontId="3" fillId="0" borderId="2" xfId="0" applyFont="1" applyBorder="1" applyAlignment="1">
      <alignment horizontal="center" vertical="center" wrapText="1"/>
    </xf>
    <xf numFmtId="170" fontId="10" fillId="0" borderId="2" xfId="0" applyNumberFormat="1" applyFont="1" applyBorder="1" applyAlignment="1" applyProtection="1">
      <alignment horizontal="center" vertical="center"/>
      <protection locked="0"/>
    </xf>
    <xf numFmtId="0" fontId="10" fillId="0" borderId="2" xfId="0" applyFont="1" applyBorder="1" applyAlignment="1" applyProtection="1">
      <alignment horizontal="center" vertical="center"/>
      <protection locked="0"/>
    </xf>
    <xf numFmtId="4" fontId="9" fillId="0" borderId="9" xfId="0" applyNumberFormat="1" applyFont="1" applyBorder="1" applyAlignment="1">
      <alignment horizontal="center" vertical="center"/>
    </xf>
    <xf numFmtId="0" fontId="10" fillId="4" borderId="0" xfId="0" applyFont="1" applyFill="1" applyAlignment="1">
      <alignment horizontal="center" wrapText="1"/>
    </xf>
    <xf numFmtId="0" fontId="10" fillId="0" borderId="0" xfId="0" applyFont="1" applyAlignment="1">
      <alignment horizontal="center" wrapText="1"/>
    </xf>
    <xf numFmtId="0" fontId="3" fillId="19" borderId="0" xfId="0" applyFont="1" applyFill="1" applyAlignment="1">
      <alignment horizontal="center" wrapText="1"/>
    </xf>
    <xf numFmtId="2" fontId="3" fillId="19" borderId="0" xfId="0" applyNumberFormat="1" applyFont="1" applyFill="1" applyAlignment="1">
      <alignment horizontal="center"/>
    </xf>
    <xf numFmtId="167" fontId="0" fillId="0" borderId="0" xfId="0" applyNumberFormat="1" applyAlignment="1">
      <alignment horizontal="center"/>
    </xf>
    <xf numFmtId="0" fontId="3" fillId="0" borderId="0" xfId="0" applyFont="1" applyAlignment="1">
      <alignment horizontal="center" wrapText="1"/>
    </xf>
    <xf numFmtId="0" fontId="0" fillId="0" borderId="26" xfId="0" applyBorder="1"/>
    <xf numFmtId="0" fontId="0" fillId="0" borderId="0" xfId="0" applyAlignment="1">
      <alignment horizontal="center"/>
    </xf>
    <xf numFmtId="0" fontId="0" fillId="0" borderId="26" xfId="0" applyBorder="1" applyAlignment="1">
      <alignment horizontal="center"/>
    </xf>
    <xf numFmtId="9" fontId="0" fillId="0" borderId="0" xfId="3" applyFont="1"/>
    <xf numFmtId="2" fontId="4" fillId="0" borderId="26" xfId="52" applyNumberFormat="1" applyFont="1" applyBorder="1" applyAlignment="1">
      <alignment horizontal="center" vertical="center"/>
    </xf>
    <xf numFmtId="2" fontId="4" fillId="0" borderId="26" xfId="0" applyNumberFormat="1" applyFont="1" applyBorder="1" applyAlignment="1">
      <alignment horizontal="center" vertical="center"/>
    </xf>
    <xf numFmtId="2" fontId="4" fillId="0" borderId="12" xfId="0" applyNumberFormat="1" applyFont="1" applyBorder="1" applyAlignment="1">
      <alignment horizontal="center" vertical="center"/>
    </xf>
    <xf numFmtId="0" fontId="7" fillId="0" borderId="6" xfId="0" applyFont="1" applyBorder="1" applyAlignment="1">
      <alignment horizontal="center" vertical="center"/>
    </xf>
    <xf numFmtId="0" fontId="4" fillId="0" borderId="14" xfId="0" applyFont="1" applyBorder="1" applyAlignment="1">
      <alignment horizontal="center" vertical="center"/>
    </xf>
    <xf numFmtId="0" fontId="10" fillId="0" borderId="27" xfId="0" applyFont="1" applyBorder="1" applyAlignment="1">
      <alignment horizontal="center" vertical="center"/>
    </xf>
    <xf numFmtId="3" fontId="8" fillId="0" borderId="0" xfId="0" applyNumberFormat="1" applyFont="1" applyAlignment="1">
      <alignment horizontal="center" vertical="center"/>
    </xf>
    <xf numFmtId="0" fontId="10" fillId="0" borderId="0" xfId="0" applyFont="1" applyAlignment="1">
      <alignment horizontal="left" vertical="center"/>
    </xf>
    <xf numFmtId="1" fontId="10" fillId="0" borderId="0" xfId="0" applyNumberFormat="1" applyFont="1" applyAlignment="1">
      <alignment horizontal="center" vertical="center"/>
    </xf>
    <xf numFmtId="2" fontId="9" fillId="0" borderId="0" xfId="3" applyNumberFormat="1" applyFont="1" applyFill="1" applyBorder="1" applyAlignment="1">
      <alignment horizontal="center" vertical="center"/>
    </xf>
    <xf numFmtId="171" fontId="54" fillId="27" borderId="0" xfId="46" applyFont="1" applyFill="1"/>
    <xf numFmtId="171" fontId="54" fillId="27" borderId="0" xfId="46" applyFont="1" applyFill="1" applyAlignment="1">
      <alignment horizontal="center" vertical="center" wrapText="1"/>
    </xf>
    <xf numFmtId="174" fontId="54" fillId="27" borderId="0" xfId="46" applyNumberFormat="1" applyFont="1" applyFill="1" applyAlignment="1">
      <alignment horizontal="center" vertical="center" wrapText="1"/>
    </xf>
    <xf numFmtId="171" fontId="54" fillId="0" borderId="0" xfId="46" applyFont="1"/>
    <xf numFmtId="2" fontId="54" fillId="0" borderId="0" xfId="46" applyNumberFormat="1" applyFont="1" applyAlignment="1">
      <alignment horizontal="center"/>
    </xf>
    <xf numFmtId="171" fontId="33" fillId="0" borderId="0" xfId="46" applyFont="1"/>
    <xf numFmtId="171" fontId="54" fillId="0" borderId="0" xfId="46" applyFont="1" applyAlignment="1">
      <alignment horizontal="center"/>
    </xf>
    <xf numFmtId="2" fontId="33" fillId="0" borderId="0" xfId="46" applyNumberFormat="1" applyFont="1" applyAlignment="1">
      <alignment horizontal="center"/>
    </xf>
    <xf numFmtId="170" fontId="3" fillId="0" borderId="0" xfId="3" applyNumberFormat="1" applyFont="1" applyFill="1" applyBorder="1" applyAlignment="1">
      <alignment horizontal="center"/>
    </xf>
    <xf numFmtId="10" fontId="3" fillId="0" borderId="0" xfId="3" applyNumberFormat="1" applyFont="1" applyFill="1" applyBorder="1" applyAlignment="1">
      <alignment horizontal="center"/>
    </xf>
    <xf numFmtId="0" fontId="3" fillId="4" borderId="27" xfId="0" applyFont="1" applyFill="1" applyBorder="1" applyAlignment="1">
      <alignment horizontal="center" wrapText="1"/>
    </xf>
    <xf numFmtId="2" fontId="3" fillId="4" borderId="26" xfId="0" applyNumberFormat="1" applyFont="1" applyFill="1" applyBorder="1" applyAlignment="1">
      <alignment horizontal="center"/>
    </xf>
    <xf numFmtId="0" fontId="10" fillId="0" borderId="1" xfId="0" applyFont="1" applyBorder="1"/>
    <xf numFmtId="165" fontId="3" fillId="0" borderId="5" xfId="1" applyNumberFormat="1" applyFont="1" applyBorder="1" applyAlignment="1">
      <alignment horizontal="center" vertical="center"/>
    </xf>
    <xf numFmtId="0" fontId="11" fillId="28" borderId="0" xfId="0" applyFont="1" applyFill="1"/>
    <xf numFmtId="0" fontId="8" fillId="29" borderId="0" xfId="0" applyFont="1" applyFill="1" applyAlignment="1">
      <alignment vertical="center" wrapText="1"/>
    </xf>
    <xf numFmtId="0" fontId="10" fillId="28" borderId="0" xfId="0" applyFont="1" applyFill="1" applyAlignment="1">
      <alignment horizontal="center" wrapText="1"/>
    </xf>
    <xf numFmtId="1" fontId="10" fillId="29" borderId="0" xfId="0" applyNumberFormat="1" applyFont="1" applyFill="1" applyAlignment="1">
      <alignment horizontal="center"/>
    </xf>
    <xf numFmtId="0" fontId="2" fillId="0" borderId="0" xfId="0" applyFont="1" applyAlignment="1">
      <alignment vertical="center" wrapText="1"/>
    </xf>
    <xf numFmtId="0" fontId="52" fillId="3" borderId="0" xfId="0" applyFont="1" applyFill="1" applyAlignment="1">
      <alignment horizontal="center" vertical="center"/>
    </xf>
    <xf numFmtId="0" fontId="52" fillId="3" borderId="6" xfId="0" applyFont="1" applyFill="1" applyBorder="1" applyAlignment="1">
      <alignment horizontal="center" vertical="center"/>
    </xf>
    <xf numFmtId="14" fontId="55" fillId="3" borderId="8" xfId="0" applyNumberFormat="1" applyFont="1" applyFill="1" applyBorder="1" applyAlignment="1">
      <alignment horizontal="center" vertical="center"/>
    </xf>
    <xf numFmtId="14" fontId="55" fillId="3" borderId="6" xfId="0" applyNumberFormat="1" applyFont="1" applyFill="1" applyBorder="1" applyAlignment="1">
      <alignment horizontal="center" vertical="center"/>
    </xf>
    <xf numFmtId="1" fontId="52" fillId="3" borderId="6" xfId="0" applyNumberFormat="1" applyFont="1" applyFill="1" applyBorder="1" applyAlignment="1">
      <alignment horizontal="center" vertical="center"/>
    </xf>
    <xf numFmtId="0" fontId="51" fillId="0" borderId="8" xfId="0" applyFont="1" applyBorder="1" applyAlignment="1">
      <alignment horizontal="center"/>
    </xf>
    <xf numFmtId="0" fontId="51" fillId="0" borderId="6" xfId="0" applyFont="1" applyBorder="1" applyAlignment="1">
      <alignment horizontal="center"/>
    </xf>
    <xf numFmtId="0" fontId="51" fillId="0" borderId="9" xfId="0" applyFont="1" applyBorder="1" applyAlignment="1">
      <alignment horizontal="center"/>
    </xf>
    <xf numFmtId="1" fontId="51" fillId="0" borderId="8" xfId="0" applyNumberFormat="1" applyFont="1" applyBorder="1" applyAlignment="1">
      <alignment horizontal="center"/>
    </xf>
    <xf numFmtId="1" fontId="51" fillId="0" borderId="6" xfId="0" applyNumberFormat="1" applyFont="1" applyBorder="1" applyAlignment="1">
      <alignment horizontal="center"/>
    </xf>
    <xf numFmtId="1" fontId="51" fillId="0" borderId="6" xfId="1" applyNumberFormat="1" applyFont="1" applyBorder="1" applyAlignment="1">
      <alignment horizontal="center"/>
    </xf>
    <xf numFmtId="1" fontId="52" fillId="3" borderId="0" xfId="0" applyNumberFormat="1" applyFont="1" applyFill="1" applyAlignment="1">
      <alignment horizontal="center"/>
    </xf>
    <xf numFmtId="0" fontId="51" fillId="0" borderId="27" xfId="0" applyFont="1" applyBorder="1" applyAlignment="1">
      <alignment horizontal="center"/>
    </xf>
    <xf numFmtId="0" fontId="51" fillId="0" borderId="14" xfId="0" applyFont="1" applyBorder="1" applyAlignment="1">
      <alignment horizontal="center"/>
    </xf>
    <xf numFmtId="1" fontId="51" fillId="0" borderId="27" xfId="0" applyNumberFormat="1" applyFont="1" applyBorder="1" applyAlignment="1">
      <alignment horizontal="center"/>
    </xf>
    <xf numFmtId="1" fontId="51" fillId="0" borderId="14" xfId="0" applyNumberFormat="1" applyFont="1" applyBorder="1" applyAlignment="1">
      <alignment horizontal="center"/>
    </xf>
    <xf numFmtId="1" fontId="51" fillId="0" borderId="14" xfId="1" applyNumberFormat="1" applyFont="1" applyBorder="1" applyAlignment="1">
      <alignment horizontal="center"/>
    </xf>
    <xf numFmtId="1" fontId="51" fillId="0" borderId="0" xfId="0" applyNumberFormat="1" applyFont="1" applyAlignment="1">
      <alignment horizontal="center"/>
    </xf>
    <xf numFmtId="168" fontId="52" fillId="0" borderId="0" xfId="0" applyNumberFormat="1" applyFont="1" applyAlignment="1">
      <alignment horizontal="center"/>
    </xf>
    <xf numFmtId="1" fontId="52" fillId="0" borderId="0" xfId="0" applyNumberFormat="1" applyFont="1" applyAlignment="1">
      <alignment horizontal="center"/>
    </xf>
    <xf numFmtId="0" fontId="51" fillId="0" borderId="11" xfId="0" applyFont="1" applyBorder="1" applyAlignment="1">
      <alignment horizontal="center"/>
    </xf>
    <xf numFmtId="0" fontId="51" fillId="0" borderId="5" xfId="0" applyFont="1" applyBorder="1" applyAlignment="1">
      <alignment horizontal="center"/>
    </xf>
    <xf numFmtId="0" fontId="51" fillId="0" borderId="1" xfId="0" applyFont="1" applyBorder="1" applyAlignment="1">
      <alignment horizontal="center"/>
    </xf>
    <xf numFmtId="1" fontId="51" fillId="0" borderId="11" xfId="0" applyNumberFormat="1" applyFont="1" applyBorder="1" applyAlignment="1">
      <alignment horizontal="center" vertical="center" wrapText="1"/>
    </xf>
    <xf numFmtId="1" fontId="51" fillId="0" borderId="5" xfId="0" applyNumberFormat="1" applyFont="1" applyBorder="1" applyAlignment="1">
      <alignment horizontal="center"/>
    </xf>
    <xf numFmtId="1" fontId="51" fillId="0" borderId="11" xfId="0" applyNumberFormat="1" applyFont="1" applyBorder="1" applyAlignment="1">
      <alignment horizontal="center"/>
    </xf>
    <xf numFmtId="0" fontId="51" fillId="0" borderId="10" xfId="0" applyFont="1" applyBorder="1" applyAlignment="1">
      <alignment horizontal="center"/>
    </xf>
    <xf numFmtId="1" fontId="56" fillId="0" borderId="9" xfId="0" applyNumberFormat="1" applyFont="1" applyBorder="1" applyAlignment="1">
      <alignment horizontal="center" vertical="center" wrapText="1"/>
    </xf>
    <xf numFmtId="1" fontId="56" fillId="0" borderId="6" xfId="0" applyNumberFormat="1" applyFont="1" applyBorder="1" applyAlignment="1">
      <alignment horizontal="center" vertical="center" wrapText="1"/>
    </xf>
    <xf numFmtId="1" fontId="56" fillId="0" borderId="10" xfId="0" applyNumberFormat="1" applyFont="1" applyBorder="1" applyAlignment="1">
      <alignment horizontal="center" vertical="center" wrapText="1"/>
    </xf>
    <xf numFmtId="1" fontId="56" fillId="0" borderId="8" xfId="0" applyNumberFormat="1" applyFont="1" applyBorder="1" applyAlignment="1">
      <alignment horizontal="center" vertical="center" wrapText="1"/>
    </xf>
    <xf numFmtId="1" fontId="56" fillId="0" borderId="14" xfId="0" applyNumberFormat="1" applyFont="1" applyBorder="1" applyAlignment="1">
      <alignment horizontal="center" vertical="center" wrapText="1"/>
    </xf>
    <xf numFmtId="1" fontId="56" fillId="0" borderId="6" xfId="1" applyNumberFormat="1" applyFont="1" applyBorder="1" applyAlignment="1">
      <alignment horizontal="center" vertical="center" wrapText="1"/>
    </xf>
    <xf numFmtId="1" fontId="56" fillId="5" borderId="6" xfId="0" applyNumberFormat="1" applyFont="1" applyFill="1" applyBorder="1" applyAlignment="1">
      <alignment horizontal="center" vertical="center"/>
    </xf>
    <xf numFmtId="1" fontId="56" fillId="5" borderId="8" xfId="0" applyNumberFormat="1" applyFont="1" applyFill="1" applyBorder="1" applyAlignment="1">
      <alignment horizontal="center" vertical="center"/>
    </xf>
    <xf numFmtId="0" fontId="51" fillId="0" borderId="26" xfId="0" applyFont="1" applyBorder="1" applyAlignment="1">
      <alignment horizontal="center"/>
    </xf>
    <xf numFmtId="1" fontId="56" fillId="0" borderId="0" xfId="0" applyNumberFormat="1" applyFont="1" applyAlignment="1">
      <alignment horizontal="center" vertical="center" wrapText="1"/>
    </xf>
    <xf numFmtId="1" fontId="56" fillId="0" borderId="26" xfId="0" applyNumberFormat="1" applyFont="1" applyBorder="1" applyAlignment="1">
      <alignment horizontal="center" vertical="center" wrapText="1"/>
    </xf>
    <xf numFmtId="1" fontId="56" fillId="0" borderId="27" xfId="0" applyNumberFormat="1" applyFont="1" applyBorder="1" applyAlignment="1">
      <alignment horizontal="center" vertical="center" wrapText="1"/>
    </xf>
    <xf numFmtId="1" fontId="56" fillId="0" borderId="14" xfId="1" applyNumberFormat="1" applyFont="1" applyBorder="1" applyAlignment="1">
      <alignment horizontal="center" vertical="center" wrapText="1"/>
    </xf>
    <xf numFmtId="1" fontId="56" fillId="5" borderId="14" xfId="0" applyNumberFormat="1" applyFont="1" applyFill="1" applyBorder="1" applyAlignment="1">
      <alignment horizontal="center" vertical="center"/>
    </xf>
    <xf numFmtId="1" fontId="56" fillId="5" borderId="27" xfId="0" applyNumberFormat="1" applyFont="1" applyFill="1" applyBorder="1" applyAlignment="1">
      <alignment horizontal="center" vertical="center"/>
    </xf>
    <xf numFmtId="0" fontId="51" fillId="0" borderId="12" xfId="0" applyFont="1" applyBorder="1" applyAlignment="1">
      <alignment horizontal="center"/>
    </xf>
    <xf numFmtId="1" fontId="56" fillId="0" borderId="1" xfId="0" applyNumberFormat="1" applyFont="1" applyBorder="1" applyAlignment="1">
      <alignment horizontal="center" vertical="center" wrapText="1"/>
    </xf>
    <xf numFmtId="1" fontId="56" fillId="0" borderId="5" xfId="0" applyNumberFormat="1" applyFont="1" applyBorder="1" applyAlignment="1">
      <alignment horizontal="center" vertical="center" wrapText="1"/>
    </xf>
    <xf numFmtId="1" fontId="56" fillId="0" borderId="12" xfId="0" applyNumberFormat="1" applyFont="1" applyBorder="1" applyAlignment="1">
      <alignment horizontal="center" vertical="center" wrapText="1"/>
    </xf>
    <xf numFmtId="1" fontId="56" fillId="0" borderId="11" xfId="0" applyNumberFormat="1" applyFont="1" applyBorder="1" applyAlignment="1">
      <alignment horizontal="center" vertical="center" wrapText="1"/>
    </xf>
    <xf numFmtId="1" fontId="56" fillId="0" borderId="5" xfId="1" applyNumberFormat="1" applyFont="1" applyBorder="1" applyAlignment="1">
      <alignment horizontal="center" vertical="center" wrapText="1"/>
    </xf>
    <xf numFmtId="1" fontId="56" fillId="5" borderId="5" xfId="0" applyNumberFormat="1" applyFont="1" applyFill="1" applyBorder="1" applyAlignment="1">
      <alignment horizontal="center" vertical="center"/>
    </xf>
    <xf numFmtId="1" fontId="56" fillId="5" borderId="11" xfId="0" applyNumberFormat="1" applyFont="1" applyFill="1" applyBorder="1" applyAlignment="1">
      <alignment horizontal="center" vertical="center"/>
    </xf>
    <xf numFmtId="0" fontId="51" fillId="4" borderId="8" xfId="0" applyFont="1" applyFill="1" applyBorder="1" applyAlignment="1">
      <alignment horizontal="center"/>
    </xf>
    <xf numFmtId="0" fontId="51" fillId="4" borderId="6" xfId="0" applyFont="1" applyFill="1" applyBorder="1" applyAlignment="1">
      <alignment horizontal="center"/>
    </xf>
    <xf numFmtId="1" fontId="57" fillId="4" borderId="8" xfId="0" applyNumberFormat="1" applyFont="1" applyFill="1" applyBorder="1" applyAlignment="1">
      <alignment horizontal="center"/>
    </xf>
    <xf numFmtId="1" fontId="57" fillId="4" borderId="14" xfId="0" applyNumberFormat="1" applyFont="1" applyFill="1" applyBorder="1" applyAlignment="1">
      <alignment horizontal="center" vertical="center"/>
    </xf>
    <xf numFmtId="1" fontId="57" fillId="4" borderId="6" xfId="1" applyNumberFormat="1" applyFont="1" applyFill="1" applyBorder="1" applyAlignment="1">
      <alignment horizontal="center" vertical="center"/>
    </xf>
    <xf numFmtId="1" fontId="57" fillId="4" borderId="6" xfId="0" applyNumberFormat="1" applyFont="1" applyFill="1" applyBorder="1" applyAlignment="1">
      <alignment horizontal="center" vertical="center"/>
    </xf>
    <xf numFmtId="1" fontId="57" fillId="4" borderId="14" xfId="1" applyNumberFormat="1" applyFont="1" applyFill="1" applyBorder="1" applyAlignment="1">
      <alignment horizontal="center" vertical="center"/>
    </xf>
    <xf numFmtId="1" fontId="57" fillId="4" borderId="8" xfId="0" applyNumberFormat="1" applyFont="1" applyFill="1" applyBorder="1" applyAlignment="1">
      <alignment horizontal="center" vertical="center"/>
    </xf>
    <xf numFmtId="1" fontId="51" fillId="4" borderId="14" xfId="0" applyNumberFormat="1" applyFont="1" applyFill="1" applyBorder="1" applyAlignment="1">
      <alignment horizontal="center"/>
    </xf>
    <xf numFmtId="0" fontId="51" fillId="4" borderId="27" xfId="0" applyFont="1" applyFill="1" applyBorder="1" applyAlignment="1">
      <alignment horizontal="center"/>
    </xf>
    <xf numFmtId="0" fontId="51" fillId="4" borderId="14" xfId="0" applyFont="1" applyFill="1" applyBorder="1" applyAlignment="1">
      <alignment horizontal="center"/>
    </xf>
    <xf numFmtId="1" fontId="57" fillId="4" borderId="27" xfId="0" applyNumberFormat="1" applyFont="1" applyFill="1" applyBorder="1" applyAlignment="1">
      <alignment horizontal="center"/>
    </xf>
    <xf numFmtId="1" fontId="57" fillId="4" borderId="27" xfId="0" applyNumberFormat="1" applyFont="1" applyFill="1" applyBorder="1" applyAlignment="1">
      <alignment horizontal="center" vertical="center"/>
    </xf>
    <xf numFmtId="0" fontId="51" fillId="4" borderId="11" xfId="0" applyFont="1" applyFill="1" applyBorder="1" applyAlignment="1">
      <alignment horizontal="center"/>
    </xf>
    <xf numFmtId="0" fontId="51" fillId="4" borderId="5" xfId="0" applyFont="1" applyFill="1" applyBorder="1" applyAlignment="1">
      <alignment horizontal="center"/>
    </xf>
    <xf numFmtId="1" fontId="57" fillId="4" borderId="11" xfId="0" applyNumberFormat="1" applyFont="1" applyFill="1" applyBorder="1" applyAlignment="1">
      <alignment horizontal="center"/>
    </xf>
    <xf numFmtId="1" fontId="57" fillId="4" borderId="5" xfId="0" applyNumberFormat="1" applyFont="1" applyFill="1" applyBorder="1" applyAlignment="1">
      <alignment horizontal="center" vertical="center"/>
    </xf>
    <xf numFmtId="1" fontId="57" fillId="4" borderId="5" xfId="1" applyNumberFormat="1" applyFont="1" applyFill="1" applyBorder="1" applyAlignment="1">
      <alignment horizontal="center" vertical="center"/>
    </xf>
    <xf numFmtId="1" fontId="57" fillId="4" borderId="11" xfId="0" applyNumberFormat="1" applyFont="1" applyFill="1" applyBorder="1" applyAlignment="1">
      <alignment horizontal="center" vertical="center"/>
    </xf>
    <xf numFmtId="1" fontId="57" fillId="0" borderId="8" xfId="0" applyNumberFormat="1" applyFont="1" applyBorder="1" applyAlignment="1">
      <alignment horizontal="center" vertical="center" wrapText="1"/>
    </xf>
    <xf numFmtId="1" fontId="57" fillId="0" borderId="6" xfId="0" applyNumberFormat="1" applyFont="1" applyBorder="1" applyAlignment="1">
      <alignment horizontal="center" vertical="center"/>
    </xf>
    <xf numFmtId="1" fontId="57" fillId="0" borderId="6" xfId="1" applyNumberFormat="1" applyFont="1" applyFill="1" applyBorder="1" applyAlignment="1">
      <alignment horizontal="center" vertical="center"/>
    </xf>
    <xf numFmtId="1" fontId="57" fillId="0" borderId="8" xfId="0" applyNumberFormat="1" applyFont="1" applyBorder="1" applyAlignment="1">
      <alignment horizontal="center" vertical="center"/>
    </xf>
    <xf numFmtId="1" fontId="57" fillId="0" borderId="27" xfId="0" applyNumberFormat="1" applyFont="1" applyBorder="1" applyAlignment="1">
      <alignment horizontal="center" vertical="center" wrapText="1"/>
    </xf>
    <xf numFmtId="1" fontId="57" fillId="0" borderId="14" xfId="0" applyNumberFormat="1" applyFont="1" applyBorder="1" applyAlignment="1">
      <alignment horizontal="center" vertical="center"/>
    </xf>
    <xf numFmtId="1" fontId="57" fillId="0" borderId="14" xfId="1" applyNumberFormat="1" applyFont="1" applyFill="1" applyBorder="1" applyAlignment="1">
      <alignment horizontal="center" vertical="center"/>
    </xf>
    <xf numFmtId="1" fontId="57" fillId="0" borderId="27" xfId="0" applyNumberFormat="1" applyFont="1" applyBorder="1" applyAlignment="1">
      <alignment horizontal="center" vertical="center"/>
    </xf>
    <xf numFmtId="1" fontId="57" fillId="0" borderId="11" xfId="0" applyNumberFormat="1" applyFont="1" applyBorder="1" applyAlignment="1">
      <alignment horizontal="center" vertical="center" wrapText="1"/>
    </xf>
    <xf numFmtId="1" fontId="57" fillId="0" borderId="5" xfId="0" applyNumberFormat="1" applyFont="1" applyBorder="1" applyAlignment="1">
      <alignment horizontal="center" vertical="center"/>
    </xf>
    <xf numFmtId="1" fontId="57" fillId="0" borderId="5" xfId="1" applyNumberFormat="1" applyFont="1" applyFill="1" applyBorder="1" applyAlignment="1">
      <alignment horizontal="center" vertical="center"/>
    </xf>
    <xf numFmtId="1" fontId="57" fillId="0" borderId="11" xfId="0" applyNumberFormat="1" applyFont="1" applyBorder="1" applyAlignment="1">
      <alignment horizontal="center" vertical="center"/>
    </xf>
    <xf numFmtId="1" fontId="51" fillId="0" borderId="6" xfId="0" applyNumberFormat="1" applyFont="1" applyBorder="1" applyAlignment="1">
      <alignment horizontal="center" vertical="center"/>
    </xf>
    <xf numFmtId="1" fontId="51" fillId="0" borderId="6" xfId="1" applyNumberFormat="1" applyFont="1" applyBorder="1" applyAlignment="1">
      <alignment horizontal="center" vertical="center"/>
    </xf>
    <xf numFmtId="1" fontId="51" fillId="0" borderId="8" xfId="0" applyNumberFormat="1" applyFont="1" applyBorder="1" applyAlignment="1">
      <alignment horizontal="center" vertical="center"/>
    </xf>
    <xf numFmtId="1" fontId="51" fillId="0" borderId="14" xfId="0" applyNumberFormat="1" applyFont="1" applyBorder="1" applyAlignment="1">
      <alignment horizontal="center" vertical="center"/>
    </xf>
    <xf numFmtId="1" fontId="51" fillId="0" borderId="14" xfId="1" applyNumberFormat="1" applyFont="1" applyBorder="1" applyAlignment="1">
      <alignment horizontal="center" vertical="center"/>
    </xf>
    <xf numFmtId="1" fontId="51" fillId="0" borderId="27" xfId="0" applyNumberFormat="1" applyFont="1" applyBorder="1" applyAlignment="1">
      <alignment horizontal="center" vertical="center"/>
    </xf>
    <xf numFmtId="1" fontId="51" fillId="0" borderId="27" xfId="0" applyNumberFormat="1" applyFont="1" applyBorder="1" applyAlignment="1">
      <alignment horizontal="center" wrapText="1"/>
    </xf>
    <xf numFmtId="1" fontId="52" fillId="0" borderId="14" xfId="1" applyNumberFormat="1" applyFont="1" applyFill="1" applyBorder="1" applyAlignment="1">
      <alignment horizontal="center"/>
    </xf>
    <xf numFmtId="1" fontId="52" fillId="0" borderId="14" xfId="43" applyNumberFormat="1" applyFont="1" applyFill="1" applyBorder="1" applyAlignment="1">
      <alignment horizontal="center"/>
    </xf>
    <xf numFmtId="1" fontId="52" fillId="0" borderId="27" xfId="43" applyNumberFormat="1" applyFont="1" applyFill="1" applyBorder="1" applyAlignment="1">
      <alignment horizontal="center"/>
    </xf>
    <xf numFmtId="1" fontId="52" fillId="0" borderId="14" xfId="0" applyNumberFormat="1" applyFont="1" applyBorder="1" applyAlignment="1">
      <alignment horizontal="center"/>
    </xf>
    <xf numFmtId="0" fontId="56" fillId="0" borderId="27" xfId="0" applyFont="1" applyBorder="1" applyAlignment="1">
      <alignment horizontal="center" vertical="center" wrapText="1"/>
    </xf>
    <xf numFmtId="173" fontId="51" fillId="0" borderId="5" xfId="0" applyNumberFormat="1" applyFont="1" applyBorder="1" applyAlignment="1">
      <alignment horizontal="center"/>
    </xf>
    <xf numFmtId="0" fontId="56" fillId="0" borderId="11" xfId="0" applyFont="1" applyBorder="1" applyAlignment="1">
      <alignment horizontal="center" vertical="center" wrapText="1"/>
    </xf>
    <xf numFmtId="1" fontId="51" fillId="0" borderId="5" xfId="1" applyNumberFormat="1" applyFont="1" applyBorder="1" applyAlignment="1">
      <alignment horizontal="center" vertical="center"/>
    </xf>
    <xf numFmtId="1" fontId="51" fillId="0" borderId="5" xfId="0" applyNumberFormat="1" applyFont="1" applyBorder="1" applyAlignment="1">
      <alignment horizontal="center" vertical="center"/>
    </xf>
    <xf numFmtId="1" fontId="51" fillId="0" borderId="11" xfId="0" applyNumberFormat="1" applyFont="1" applyBorder="1" applyAlignment="1">
      <alignment horizontal="center" vertical="center"/>
    </xf>
    <xf numFmtId="14" fontId="55" fillId="3" borderId="9" xfId="0" applyNumberFormat="1" applyFont="1" applyFill="1" applyBorder="1" applyAlignment="1">
      <alignment horizontal="center" vertical="center"/>
    </xf>
    <xf numFmtId="1" fontId="57" fillId="4" borderId="27" xfId="46" applyNumberFormat="1" applyFont="1" applyFill="1" applyBorder="1" applyAlignment="1">
      <alignment horizontal="center" vertical="center"/>
    </xf>
    <xf numFmtId="1" fontId="57" fillId="4" borderId="14" xfId="46" applyNumberFormat="1" applyFont="1" applyFill="1" applyBorder="1" applyAlignment="1">
      <alignment horizontal="center" vertical="center"/>
    </xf>
    <xf numFmtId="1" fontId="51" fillId="4" borderId="6" xfId="0" applyNumberFormat="1" applyFont="1" applyFill="1" applyBorder="1" applyAlignment="1">
      <alignment horizontal="center"/>
    </xf>
    <xf numFmtId="2" fontId="56" fillId="0" borderId="9" xfId="0" applyNumberFormat="1" applyFont="1" applyBorder="1" applyAlignment="1">
      <alignment horizontal="center" vertical="top" wrapText="1"/>
    </xf>
    <xf numFmtId="2" fontId="51" fillId="0" borderId="10" xfId="0" applyNumberFormat="1" applyFont="1" applyBorder="1" applyAlignment="1">
      <alignment horizontal="center" vertical="top"/>
    </xf>
    <xf numFmtId="2" fontId="56" fillId="0" borderId="0" xfId="0" applyNumberFormat="1" applyFont="1" applyAlignment="1">
      <alignment horizontal="center" vertical="top" wrapText="1"/>
    </xf>
    <xf numFmtId="2" fontId="51" fillId="0" borderId="26" xfId="0" applyNumberFormat="1" applyFont="1" applyBorder="1" applyAlignment="1">
      <alignment horizontal="center" vertical="top"/>
    </xf>
    <xf numFmtId="2" fontId="51" fillId="0" borderId="0" xfId="0" applyNumberFormat="1" applyFont="1" applyAlignment="1">
      <alignment horizontal="center" vertical="top" wrapText="1"/>
    </xf>
    <xf numFmtId="2" fontId="51" fillId="0" borderId="0" xfId="0" applyNumberFormat="1" applyFont="1" applyAlignment="1">
      <alignment horizontal="center" vertical="top"/>
    </xf>
    <xf numFmtId="1" fontId="57" fillId="4" borderId="27" xfId="46" applyNumberFormat="1" applyFont="1" applyFill="1" applyBorder="1" applyAlignment="1">
      <alignment horizontal="center" vertical="center" wrapText="1"/>
    </xf>
    <xf numFmtId="0" fontId="51" fillId="3" borderId="14" xfId="0" applyFont="1" applyFill="1" applyBorder="1" applyAlignment="1">
      <alignment horizontal="center" vertical="center"/>
    </xf>
    <xf numFmtId="0" fontId="51" fillId="3" borderId="27" xfId="0" applyFont="1" applyFill="1" applyBorder="1" applyAlignment="1">
      <alignment horizontal="center"/>
    </xf>
    <xf numFmtId="0" fontId="51" fillId="3" borderId="14" xfId="0" applyFont="1" applyFill="1" applyBorder="1" applyAlignment="1">
      <alignment horizontal="center"/>
    </xf>
    <xf numFmtId="0" fontId="51" fillId="3" borderId="0" xfId="0" applyFont="1" applyFill="1" applyAlignment="1">
      <alignment horizontal="center"/>
    </xf>
    <xf numFmtId="1" fontId="51" fillId="3" borderId="27" xfId="0" applyNumberFormat="1" applyFont="1" applyFill="1" applyBorder="1" applyAlignment="1">
      <alignment horizontal="center" wrapText="1"/>
    </xf>
    <xf numFmtId="1" fontId="57" fillId="3" borderId="14" xfId="1" applyNumberFormat="1" applyFont="1" applyFill="1" applyBorder="1" applyAlignment="1">
      <alignment horizontal="center" vertical="center"/>
    </xf>
    <xf numFmtId="1" fontId="57" fillId="3" borderId="14" xfId="46" applyNumberFormat="1" applyFont="1" applyFill="1" applyBorder="1" applyAlignment="1">
      <alignment horizontal="center" vertical="center"/>
    </xf>
    <xf numFmtId="1" fontId="57" fillId="3" borderId="27" xfId="46" applyNumberFormat="1" applyFont="1" applyFill="1" applyBorder="1" applyAlignment="1">
      <alignment horizontal="center" vertical="center"/>
    </xf>
    <xf numFmtId="1" fontId="51" fillId="4" borderId="5" xfId="0" applyNumberFormat="1" applyFont="1" applyFill="1" applyBorder="1" applyAlignment="1">
      <alignment horizontal="center"/>
    </xf>
    <xf numFmtId="2" fontId="51" fillId="0" borderId="1" xfId="0" applyNumberFormat="1" applyFont="1" applyBorder="1" applyAlignment="1">
      <alignment horizontal="center" vertical="top" wrapText="1"/>
    </xf>
    <xf numFmtId="2" fontId="56" fillId="0" borderId="1" xfId="0" applyNumberFormat="1" applyFont="1" applyBorder="1" applyAlignment="1">
      <alignment horizontal="center" vertical="top" wrapText="1"/>
    </xf>
    <xf numFmtId="2" fontId="51" fillId="0" borderId="12" xfId="0" applyNumberFormat="1" applyFont="1" applyBorder="1" applyAlignment="1">
      <alignment horizontal="center" vertical="top"/>
    </xf>
    <xf numFmtId="1" fontId="51" fillId="0" borderId="9" xfId="0" applyNumberFormat="1" applyFont="1" applyBorder="1" applyAlignment="1">
      <alignment horizontal="center"/>
    </xf>
    <xf numFmtId="1" fontId="51" fillId="0" borderId="8" xfId="0" applyNumberFormat="1" applyFont="1" applyBorder="1" applyAlignment="1">
      <alignment horizontal="center" wrapText="1"/>
    </xf>
    <xf numFmtId="165" fontId="51" fillId="0" borderId="6" xfId="1" applyNumberFormat="1" applyFont="1" applyFill="1" applyBorder="1" applyAlignment="1">
      <alignment horizontal="center"/>
    </xf>
    <xf numFmtId="1" fontId="51" fillId="0" borderId="6" xfId="43" applyNumberFormat="1" applyFont="1" applyFill="1" applyBorder="1" applyAlignment="1">
      <alignment horizontal="center"/>
    </xf>
    <xf numFmtId="165" fontId="51" fillId="0" borderId="14" xfId="1" applyNumberFormat="1" applyFont="1" applyFill="1" applyBorder="1" applyAlignment="1">
      <alignment horizontal="center"/>
    </xf>
    <xf numFmtId="1" fontId="51" fillId="0" borderId="14" xfId="43" applyNumberFormat="1" applyFont="1" applyFill="1" applyBorder="1" applyAlignment="1">
      <alignment horizontal="center"/>
    </xf>
    <xf numFmtId="0" fontId="51" fillId="0" borderId="2" xfId="0" applyFont="1" applyBorder="1" applyAlignment="1">
      <alignment horizontal="center" vertical="center"/>
    </xf>
    <xf numFmtId="0" fontId="51" fillId="0" borderId="4" xfId="0" applyFont="1" applyBorder="1" applyAlignment="1">
      <alignment horizontal="center" vertical="center"/>
    </xf>
    <xf numFmtId="1" fontId="51" fillId="0" borderId="15" xfId="0" applyNumberFormat="1" applyFont="1" applyBorder="1" applyAlignment="1">
      <alignment horizontal="center" vertical="center"/>
    </xf>
    <xf numFmtId="1" fontId="57" fillId="0" borderId="4" xfId="46" applyNumberFormat="1" applyFont="1" applyBorder="1" applyAlignment="1">
      <alignment horizontal="center" vertical="center" wrapText="1"/>
    </xf>
    <xf numFmtId="165" fontId="51" fillId="0" borderId="2" xfId="1" applyNumberFormat="1" applyFont="1" applyFill="1" applyBorder="1" applyAlignment="1">
      <alignment horizontal="center"/>
    </xf>
    <xf numFmtId="1" fontId="51" fillId="0" borderId="2" xfId="43" applyNumberFormat="1" applyFont="1" applyFill="1" applyBorder="1" applyAlignment="1">
      <alignment horizontal="center"/>
    </xf>
    <xf numFmtId="0" fontId="51" fillId="0" borderId="5" xfId="0" applyFont="1" applyBorder="1" applyAlignment="1">
      <alignment horizontal="center" vertical="center"/>
    </xf>
    <xf numFmtId="0" fontId="51" fillId="0" borderId="11" xfId="0" applyFont="1" applyBorder="1" applyAlignment="1">
      <alignment horizontal="center" vertical="center"/>
    </xf>
    <xf numFmtId="1" fontId="51" fillId="0" borderId="1" xfId="0" applyNumberFormat="1" applyFont="1" applyBorder="1" applyAlignment="1">
      <alignment horizontal="center" vertical="center"/>
    </xf>
    <xf numFmtId="165" fontId="51" fillId="0" borderId="5" xfId="1" applyNumberFormat="1" applyFont="1" applyFill="1" applyBorder="1" applyAlignment="1">
      <alignment horizontal="center" vertical="center"/>
    </xf>
    <xf numFmtId="1" fontId="51" fillId="0" borderId="5" xfId="43" applyNumberFormat="1" applyFont="1" applyFill="1" applyBorder="1" applyAlignment="1">
      <alignment horizontal="center" vertical="center"/>
    </xf>
    <xf numFmtId="0" fontId="51" fillId="0" borderId="0" xfId="0" applyFont="1" applyAlignment="1">
      <alignment horizontal="center" vertical="center"/>
    </xf>
    <xf numFmtId="0" fontId="51" fillId="0" borderId="6" xfId="0" applyFont="1" applyBorder="1" applyAlignment="1">
      <alignment horizontal="center" vertical="center"/>
    </xf>
    <xf numFmtId="0" fontId="51" fillId="0" borderId="8" xfId="0" applyFont="1" applyBorder="1" applyAlignment="1">
      <alignment horizontal="center" vertical="center"/>
    </xf>
    <xf numFmtId="0" fontId="51" fillId="0" borderId="9" xfId="0" applyFont="1" applyBorder="1" applyAlignment="1">
      <alignment horizontal="center" vertical="center"/>
    </xf>
    <xf numFmtId="165" fontId="56" fillId="0" borderId="6" xfId="1" applyNumberFormat="1" applyFont="1" applyBorder="1" applyAlignment="1">
      <alignment horizontal="center" vertical="center" wrapText="1"/>
    </xf>
    <xf numFmtId="0" fontId="51" fillId="0" borderId="14" xfId="0" applyFont="1" applyBorder="1" applyAlignment="1">
      <alignment horizontal="center" vertical="center"/>
    </xf>
    <xf numFmtId="0" fontId="51" fillId="0" borderId="27" xfId="0" applyFont="1" applyBorder="1" applyAlignment="1">
      <alignment horizontal="center" vertical="center"/>
    </xf>
    <xf numFmtId="165" fontId="56" fillId="0" borderId="14" xfId="1" applyNumberFormat="1" applyFont="1" applyBorder="1" applyAlignment="1">
      <alignment horizontal="center" vertical="center" wrapText="1"/>
    </xf>
    <xf numFmtId="179" fontId="56" fillId="0" borderId="14" xfId="1" applyNumberFormat="1" applyFont="1" applyBorder="1" applyAlignment="1">
      <alignment horizontal="center" vertical="center" wrapText="1"/>
    </xf>
    <xf numFmtId="168" fontId="56" fillId="0" borderId="14" xfId="0" applyNumberFormat="1" applyFont="1" applyBorder="1" applyAlignment="1">
      <alignment horizontal="center" vertical="center" wrapText="1"/>
    </xf>
    <xf numFmtId="168" fontId="56" fillId="0" borderId="27" xfId="0" applyNumberFormat="1" applyFont="1" applyBorder="1" applyAlignment="1">
      <alignment horizontal="center" vertical="center" wrapText="1"/>
    </xf>
    <xf numFmtId="173" fontId="51" fillId="0" borderId="14" xfId="0" applyNumberFormat="1" applyFont="1" applyBorder="1" applyAlignment="1">
      <alignment horizontal="center"/>
    </xf>
    <xf numFmtId="173" fontId="51" fillId="0" borderId="0" xfId="0" applyNumberFormat="1" applyFont="1" applyAlignment="1">
      <alignment horizontal="center"/>
    </xf>
    <xf numFmtId="165" fontId="56" fillId="0" borderId="5" xfId="1" applyNumberFormat="1" applyFont="1" applyBorder="1" applyAlignment="1">
      <alignment horizontal="center" vertical="center" wrapText="1"/>
    </xf>
    <xf numFmtId="1" fontId="51" fillId="0" borderId="8" xfId="1" applyNumberFormat="1" applyFont="1" applyBorder="1" applyAlignment="1">
      <alignment horizontal="center"/>
    </xf>
    <xf numFmtId="0" fontId="51" fillId="0" borderId="2" xfId="0" applyFont="1" applyBorder="1" applyAlignment="1">
      <alignment horizontal="center"/>
    </xf>
    <xf numFmtId="0" fontId="13" fillId="0" borderId="5" xfId="0" applyFont="1" applyBorder="1" applyAlignment="1">
      <alignment horizontal="center"/>
    </xf>
    <xf numFmtId="1" fontId="51" fillId="0" borderId="0" xfId="48" applyNumberFormat="1" applyFont="1" applyAlignment="1">
      <alignment horizontal="center"/>
    </xf>
    <xf numFmtId="1" fontId="51" fillId="0" borderId="14" xfId="48" applyNumberFormat="1" applyFont="1" applyBorder="1" applyAlignment="1">
      <alignment horizontal="center"/>
    </xf>
    <xf numFmtId="165" fontId="51" fillId="0" borderId="14" xfId="1" applyNumberFormat="1" applyFont="1" applyBorder="1" applyAlignment="1">
      <alignment horizontal="center"/>
    </xf>
    <xf numFmtId="1" fontId="52" fillId="0" borderId="8" xfId="0" applyNumberFormat="1" applyFont="1" applyBorder="1" applyAlignment="1">
      <alignment horizontal="center"/>
    </xf>
    <xf numFmtId="1" fontId="52" fillId="0" borderId="6" xfId="0" applyNumberFormat="1" applyFont="1" applyBorder="1" applyAlignment="1">
      <alignment horizontal="center"/>
    </xf>
    <xf numFmtId="165" fontId="51" fillId="0" borderId="6" xfId="1" applyNumberFormat="1" applyFont="1" applyBorder="1" applyAlignment="1">
      <alignment horizontal="center"/>
    </xf>
    <xf numFmtId="1" fontId="57" fillId="0" borderId="27" xfId="48" applyNumberFormat="1" applyFont="1" applyBorder="1" applyAlignment="1">
      <alignment horizontal="center" vertical="center" wrapText="1"/>
    </xf>
    <xf numFmtId="165" fontId="51" fillId="0" borderId="5" xfId="1" applyNumberFormat="1" applyFont="1" applyBorder="1" applyAlignment="1">
      <alignment horizontal="center" vertical="center"/>
    </xf>
    <xf numFmtId="1" fontId="55" fillId="4" borderId="27" xfId="0" applyNumberFormat="1" applyFont="1" applyFill="1" applyBorder="1" applyAlignment="1">
      <alignment horizontal="center" vertical="center" wrapText="1"/>
    </xf>
    <xf numFmtId="165" fontId="52" fillId="4" borderId="14" xfId="1" applyNumberFormat="1" applyFont="1" applyFill="1" applyBorder="1" applyAlignment="1">
      <alignment horizontal="center" vertical="center"/>
    </xf>
    <xf numFmtId="1" fontId="52" fillId="4" borderId="14" xfId="0" applyNumberFormat="1" applyFont="1" applyFill="1" applyBorder="1" applyAlignment="1">
      <alignment horizontal="center" vertical="center"/>
    </xf>
    <xf numFmtId="171" fontId="54" fillId="4" borderId="0" xfId="46" applyFont="1" applyFill="1" applyAlignment="1">
      <alignment horizontal="center"/>
    </xf>
    <xf numFmtId="171" fontId="33" fillId="0" borderId="2" xfId="46" applyFont="1" applyBorder="1" applyAlignment="1">
      <alignment vertical="center"/>
    </xf>
    <xf numFmtId="0" fontId="33" fillId="0" borderId="2" xfId="0" applyFont="1" applyBorder="1" applyAlignment="1">
      <alignment vertical="center" wrapText="1"/>
    </xf>
    <xf numFmtId="0" fontId="33" fillId="0" borderId="9" xfId="0" applyFont="1" applyBorder="1"/>
    <xf numFmtId="0" fontId="33" fillId="0" borderId="10" xfId="0" applyFont="1" applyBorder="1"/>
    <xf numFmtId="0" fontId="33" fillId="0" borderId="26" xfId="0" applyFont="1" applyBorder="1"/>
    <xf numFmtId="0" fontId="7" fillId="4" borderId="0" xfId="0" applyFont="1" applyFill="1" applyAlignment="1">
      <alignment horizontal="centerContinuous" vertical="center"/>
    </xf>
    <xf numFmtId="0" fontId="4" fillId="4" borderId="0" xfId="0" applyFont="1" applyFill="1" applyAlignment="1">
      <alignment horizontal="centerContinuous" vertical="center"/>
    </xf>
    <xf numFmtId="0" fontId="4" fillId="0" borderId="0" xfId="0" applyFont="1"/>
    <xf numFmtId="0" fontId="3" fillId="16" borderId="0" xfId="0" applyFont="1" applyFill="1" applyAlignment="1">
      <alignment horizontal="center" vertical="center"/>
    </xf>
    <xf numFmtId="0" fontId="3" fillId="16" borderId="6" xfId="0" applyFont="1" applyFill="1" applyBorder="1" applyAlignment="1">
      <alignment horizontal="center" vertical="center"/>
    </xf>
    <xf numFmtId="0" fontId="3" fillId="16" borderId="26" xfId="0" applyFont="1" applyFill="1" applyBorder="1" applyAlignment="1">
      <alignment horizontal="center" vertical="center"/>
    </xf>
    <xf numFmtId="0" fontId="4" fillId="0" borderId="0" xfId="0" applyFont="1" applyAlignment="1">
      <alignment horizontal="center" vertical="center" wrapText="1"/>
    </xf>
    <xf numFmtId="0" fontId="4" fillId="0" borderId="14" xfId="1" applyNumberFormat="1" applyFont="1" applyBorder="1" applyAlignment="1">
      <alignment horizontal="center" vertical="center" wrapText="1"/>
    </xf>
    <xf numFmtId="1" fontId="4" fillId="0" borderId="26" xfId="1" applyNumberFormat="1" applyFont="1" applyBorder="1" applyAlignment="1">
      <alignment horizontal="center" vertical="center" wrapText="1"/>
    </xf>
    <xf numFmtId="0" fontId="4" fillId="0" borderId="14" xfId="0" applyFont="1" applyBorder="1" applyAlignment="1">
      <alignment horizontal="center" vertical="center" wrapText="1"/>
    </xf>
    <xf numFmtId="1" fontId="4" fillId="0" borderId="26" xfId="0" applyNumberFormat="1" applyFont="1" applyBorder="1" applyAlignment="1">
      <alignment horizontal="center" vertical="center" wrapText="1"/>
    </xf>
    <xf numFmtId="0" fontId="3" fillId="0" borderId="14" xfId="43" applyNumberFormat="1" applyFont="1" applyBorder="1" applyAlignment="1">
      <alignment horizontal="center"/>
    </xf>
    <xf numFmtId="0" fontId="4" fillId="0" borderId="6" xfId="0" applyFont="1" applyBorder="1" applyAlignment="1">
      <alignment horizontal="center" vertical="center" wrapText="1"/>
    </xf>
    <xf numFmtId="0" fontId="4" fillId="0" borderId="6" xfId="1" applyNumberFormat="1" applyFont="1" applyBorder="1" applyAlignment="1">
      <alignment horizontal="center"/>
    </xf>
    <xf numFmtId="0" fontId="4" fillId="0" borderId="9" xfId="1" applyNumberFormat="1" applyFont="1" applyBorder="1" applyAlignment="1">
      <alignment horizontal="center"/>
    </xf>
    <xf numFmtId="0" fontId="4" fillId="0" borderId="6" xfId="0" applyFont="1" applyBorder="1" applyAlignment="1">
      <alignment horizontal="center"/>
    </xf>
    <xf numFmtId="1" fontId="4" fillId="0" borderId="6" xfId="0" applyNumberFormat="1" applyFont="1" applyBorder="1" applyAlignment="1">
      <alignment horizontal="center"/>
    </xf>
    <xf numFmtId="0" fontId="4" fillId="0" borderId="14" xfId="1" applyNumberFormat="1" applyFont="1" applyBorder="1" applyAlignment="1">
      <alignment horizontal="center"/>
    </xf>
    <xf numFmtId="0" fontId="4" fillId="0" borderId="0" xfId="1" applyNumberFormat="1" applyFont="1" applyBorder="1" applyAlignment="1">
      <alignment horizontal="center"/>
    </xf>
    <xf numFmtId="0" fontId="4" fillId="0" borderId="14" xfId="0" applyFont="1" applyBorder="1" applyAlignment="1">
      <alignment horizontal="center"/>
    </xf>
    <xf numFmtId="1" fontId="4" fillId="0" borderId="14" xfId="0" applyNumberFormat="1" applyFont="1" applyBorder="1" applyAlignment="1">
      <alignment horizontal="center"/>
    </xf>
    <xf numFmtId="0" fontId="4" fillId="0" borderId="27" xfId="1" applyNumberFormat="1" applyFont="1" applyBorder="1" applyAlignment="1">
      <alignment horizontal="center"/>
    </xf>
    <xf numFmtId="0" fontId="4" fillId="0" borderId="5" xfId="0" applyFont="1" applyBorder="1" applyAlignment="1">
      <alignment horizontal="center" vertical="center" wrapText="1"/>
    </xf>
    <xf numFmtId="0" fontId="4" fillId="0" borderId="5" xfId="1" applyNumberFormat="1" applyFont="1" applyBorder="1" applyAlignment="1">
      <alignment horizontal="center"/>
    </xf>
    <xf numFmtId="0" fontId="4" fillId="0" borderId="1" xfId="1" applyNumberFormat="1" applyFont="1" applyBorder="1" applyAlignment="1">
      <alignment horizontal="center" vertical="center" wrapText="1"/>
    </xf>
    <xf numFmtId="0" fontId="4" fillId="0" borderId="5" xfId="0" applyFont="1" applyBorder="1" applyAlignment="1">
      <alignment horizontal="center"/>
    </xf>
    <xf numFmtId="1" fontId="4" fillId="0" borderId="5" xfId="0" applyNumberFormat="1" applyFont="1" applyBorder="1" applyAlignment="1">
      <alignment horizontal="center" vertical="center" wrapText="1"/>
    </xf>
    <xf numFmtId="0" fontId="4" fillId="0" borderId="9" xfId="0" applyFont="1" applyBorder="1" applyAlignment="1">
      <alignment horizontal="center" vertical="center" wrapText="1"/>
    </xf>
    <xf numFmtId="0" fontId="4" fillId="0" borderId="10" xfId="1" applyNumberFormat="1" applyFont="1" applyBorder="1" applyAlignment="1">
      <alignment horizontal="center" vertical="center" wrapText="1"/>
    </xf>
    <xf numFmtId="0" fontId="4" fillId="0" borderId="26" xfId="0" applyFont="1" applyBorder="1" applyAlignment="1">
      <alignment horizontal="center" vertical="center" wrapText="1"/>
    </xf>
    <xf numFmtId="0" fontId="4" fillId="0" borderId="8" xfId="1" applyNumberFormat="1" applyFont="1" applyBorder="1" applyAlignment="1">
      <alignment horizontal="center"/>
    </xf>
    <xf numFmtId="0" fontId="4" fillId="0" borderId="26" xfId="1" applyNumberFormat="1" applyFont="1" applyBorder="1" applyAlignment="1">
      <alignment horizontal="center" vertical="center" wrapText="1"/>
    </xf>
    <xf numFmtId="0" fontId="7" fillId="17" borderId="27" xfId="0" applyFont="1" applyFill="1" applyBorder="1" applyAlignment="1">
      <alignment horizontal="center" vertical="center" textRotation="90" wrapText="1"/>
    </xf>
    <xf numFmtId="0" fontId="4" fillId="0" borderId="0" xfId="1" applyNumberFormat="1" applyFont="1" applyBorder="1" applyAlignment="1">
      <alignment horizontal="center" vertical="center" wrapText="1"/>
    </xf>
    <xf numFmtId="0" fontId="11" fillId="0" borderId="27" xfId="0" applyFont="1" applyBorder="1" applyAlignment="1">
      <alignment vertical="center" textRotation="90"/>
    </xf>
    <xf numFmtId="0" fontId="11" fillId="30" borderId="31" xfId="0" applyFont="1" applyFill="1" applyBorder="1" applyAlignment="1">
      <alignment horizontal="center" vertical="center"/>
    </xf>
    <xf numFmtId="0" fontId="3" fillId="16" borderId="32" xfId="1" applyNumberFormat="1" applyFont="1" applyFill="1" applyBorder="1" applyAlignment="1">
      <alignment horizontal="center" vertical="center"/>
    </xf>
    <xf numFmtId="0" fontId="3" fillId="16" borderId="33" xfId="1" applyNumberFormat="1" applyFont="1" applyFill="1" applyBorder="1" applyAlignment="1">
      <alignment horizontal="center" vertical="center"/>
    </xf>
    <xf numFmtId="0" fontId="3" fillId="16" borderId="32" xfId="0" applyFont="1" applyFill="1" applyBorder="1" applyAlignment="1">
      <alignment horizontal="center" vertical="center"/>
    </xf>
    <xf numFmtId="0" fontId="3" fillId="16" borderId="31" xfId="0" applyFont="1" applyFill="1" applyBorder="1" applyAlignment="1">
      <alignment horizontal="center" vertical="center"/>
    </xf>
    <xf numFmtId="0" fontId="3" fillId="16" borderId="34" xfId="0" applyFont="1" applyFill="1" applyBorder="1" applyAlignment="1">
      <alignment horizontal="center" vertical="center"/>
    </xf>
    <xf numFmtId="0" fontId="4" fillId="0" borderId="26" xfId="0" applyFont="1" applyBorder="1"/>
    <xf numFmtId="0" fontId="3" fillId="0" borderId="14" xfId="1" applyNumberFormat="1" applyFont="1" applyFill="1" applyBorder="1" applyAlignment="1">
      <alignment horizontal="center"/>
    </xf>
    <xf numFmtId="1" fontId="4" fillId="0" borderId="34" xfId="1" applyNumberFormat="1" applyFont="1" applyFill="1" applyBorder="1" applyAlignment="1">
      <alignment horizontal="center" vertical="center" wrapText="1"/>
    </xf>
    <xf numFmtId="1" fontId="4" fillId="0" borderId="34" xfId="0" applyNumberFormat="1" applyFont="1" applyBorder="1" applyAlignment="1">
      <alignment horizontal="center" vertical="center" wrapText="1"/>
    </xf>
    <xf numFmtId="0" fontId="3" fillId="0" borderId="12" xfId="0" applyFont="1" applyBorder="1"/>
    <xf numFmtId="0" fontId="2" fillId="0" borderId="0" xfId="0" applyFont="1" applyAlignment="1">
      <alignment horizontal="center"/>
    </xf>
    <xf numFmtId="0" fontId="2" fillId="0" borderId="26" xfId="0" applyFont="1" applyBorder="1" applyAlignment="1">
      <alignment horizontal="center"/>
    </xf>
    <xf numFmtId="3" fontId="4" fillId="0" borderId="0" xfId="42" applyNumberFormat="1" applyAlignment="1">
      <alignment horizontal="left" vertical="center" wrapText="1"/>
    </xf>
    <xf numFmtId="2" fontId="4" fillId="0" borderId="0" xfId="42" applyNumberFormat="1" applyAlignment="1">
      <alignment vertical="center"/>
    </xf>
    <xf numFmtId="2" fontId="7" fillId="0" borderId="0" xfId="42" applyNumberFormat="1" applyFont="1" applyAlignment="1">
      <alignment vertical="center"/>
    </xf>
    <xf numFmtId="0" fontId="7" fillId="0" borderId="27" xfId="42" applyFont="1" applyBorder="1" applyAlignment="1">
      <alignment vertical="center"/>
    </xf>
    <xf numFmtId="0" fontId="4" fillId="0" borderId="27" xfId="42" applyBorder="1" applyAlignment="1">
      <alignment vertical="center"/>
    </xf>
    <xf numFmtId="2" fontId="4" fillId="0" borderId="26" xfId="42" applyNumberFormat="1" applyBorder="1" applyAlignment="1">
      <alignment vertical="center"/>
    </xf>
    <xf numFmtId="2" fontId="7" fillId="0" borderId="26" xfId="42" applyNumberFormat="1" applyFont="1" applyBorder="1" applyAlignment="1">
      <alignment vertical="center"/>
    </xf>
    <xf numFmtId="0" fontId="7" fillId="0" borderId="11" xfId="42" applyFont="1" applyBorder="1" applyAlignment="1">
      <alignment vertical="center"/>
    </xf>
    <xf numFmtId="2" fontId="7" fillId="0" borderId="1" xfId="42" applyNumberFormat="1" applyFont="1" applyBorder="1" applyAlignment="1">
      <alignment vertical="center"/>
    </xf>
    <xf numFmtId="0" fontId="4" fillId="0" borderId="1" xfId="42" applyBorder="1" applyAlignment="1">
      <alignment vertical="center"/>
    </xf>
    <xf numFmtId="0" fontId="4" fillId="0" borderId="12" xfId="42" applyBorder="1" applyAlignment="1">
      <alignment vertical="center"/>
    </xf>
    <xf numFmtId="0" fontId="0" fillId="0" borderId="0" xfId="0" quotePrefix="1"/>
    <xf numFmtId="0" fontId="5" fillId="0" borderId="0" xfId="0" applyFont="1"/>
    <xf numFmtId="0" fontId="59" fillId="0" borderId="0" xfId="0" applyFont="1"/>
    <xf numFmtId="0" fontId="60" fillId="0" borderId="0" xfId="0" applyFont="1" applyAlignment="1">
      <alignment horizontal="center" vertical="center" wrapText="1"/>
    </xf>
    <xf numFmtId="1" fontId="60" fillId="0" borderId="0" xfId="0" applyNumberFormat="1" applyFont="1" applyAlignment="1">
      <alignment horizontal="center"/>
    </xf>
    <xf numFmtId="1" fontId="60" fillId="0" borderId="0" xfId="0" applyNumberFormat="1" applyFont="1" applyAlignment="1">
      <alignment horizontal="center" vertical="center" wrapText="1"/>
    </xf>
    <xf numFmtId="0" fontId="58" fillId="32" borderId="0" xfId="0" applyFont="1" applyFill="1"/>
    <xf numFmtId="0" fontId="58" fillId="32" borderId="0" xfId="0" applyFont="1" applyFill="1" applyAlignment="1">
      <alignment horizontal="center"/>
    </xf>
    <xf numFmtId="0" fontId="0" fillId="33" borderId="0" xfId="0" applyFill="1"/>
    <xf numFmtId="2" fontId="10" fillId="0" borderId="12" xfId="0" applyNumberFormat="1" applyFont="1" applyBorder="1" applyAlignment="1">
      <alignment horizontal="center" vertical="top"/>
    </xf>
    <xf numFmtId="0" fontId="10" fillId="0" borderId="1" xfId="0" applyFont="1" applyBorder="1" applyAlignment="1">
      <alignment horizontal="center" vertical="top" wrapText="1"/>
    </xf>
    <xf numFmtId="0" fontId="10" fillId="0" borderId="11" xfId="0" applyFont="1" applyBorder="1" applyAlignment="1">
      <alignment horizontal="center" wrapText="1"/>
    </xf>
    <xf numFmtId="0" fontId="3" fillId="0" borderId="0" xfId="0" applyFont="1" applyAlignment="1">
      <alignment horizontal="center" vertical="top" wrapText="1"/>
    </xf>
    <xf numFmtId="0" fontId="3" fillId="0" borderId="27" xfId="0" applyFont="1" applyBorder="1" applyAlignment="1">
      <alignment horizontal="center" vertical="top" wrapText="1"/>
    </xf>
    <xf numFmtId="0" fontId="3" fillId="0" borderId="27" xfId="0" applyFont="1" applyBorder="1" applyAlignment="1">
      <alignment horizontal="center" wrapText="1"/>
    </xf>
    <xf numFmtId="1" fontId="3" fillId="23" borderId="0" xfId="0" applyNumberFormat="1" applyFont="1" applyFill="1" applyAlignment="1">
      <alignment horizontal="center"/>
    </xf>
    <xf numFmtId="0" fontId="3" fillId="23" borderId="0" xfId="0" applyFont="1" applyFill="1" applyAlignment="1">
      <alignment horizontal="center" wrapText="1"/>
    </xf>
    <xf numFmtId="1" fontId="9" fillId="23" borderId="0" xfId="0" applyNumberFormat="1" applyFont="1" applyFill="1" applyAlignment="1">
      <alignment horizontal="center" vertical="center"/>
    </xf>
    <xf numFmtId="0" fontId="9" fillId="23" borderId="0" xfId="0" applyFont="1" applyFill="1" applyAlignment="1">
      <alignment horizontal="center" vertical="center"/>
    </xf>
    <xf numFmtId="0" fontId="3" fillId="4" borderId="0" xfId="0" applyFont="1" applyFill="1" applyAlignment="1">
      <alignment horizontal="center" wrapText="1"/>
    </xf>
    <xf numFmtId="0" fontId="3" fillId="19" borderId="0" xfId="0" applyFont="1" applyFill="1" applyAlignment="1">
      <alignment horizontal="center" vertical="top" wrapText="1"/>
    </xf>
    <xf numFmtId="1" fontId="3" fillId="19" borderId="0" xfId="0" applyNumberFormat="1" applyFont="1" applyFill="1" applyAlignment="1">
      <alignment horizontal="center" vertical="top" wrapText="1"/>
    </xf>
    <xf numFmtId="1" fontId="3" fillId="0" borderId="0" xfId="0" applyNumberFormat="1" applyFont="1" applyAlignment="1">
      <alignment horizontal="center" vertical="top" wrapText="1"/>
    </xf>
    <xf numFmtId="0" fontId="9" fillId="0" borderId="27" xfId="0" applyFont="1" applyBorder="1" applyAlignment="1">
      <alignment horizontal="center" vertical="center"/>
    </xf>
    <xf numFmtId="0" fontId="10" fillId="4" borderId="0" xfId="0" applyFont="1" applyFill="1" applyAlignment="1">
      <alignment horizontal="center" vertical="top" wrapText="1"/>
    </xf>
    <xf numFmtId="0" fontId="10" fillId="4" borderId="0" xfId="0" applyFont="1" applyFill="1" applyAlignment="1">
      <alignment horizontal="center" vertical="center" wrapText="1"/>
    </xf>
    <xf numFmtId="1" fontId="0" fillId="0" borderId="0" xfId="0" applyNumberFormat="1" applyAlignment="1">
      <alignment horizontal="center"/>
    </xf>
    <xf numFmtId="0" fontId="10" fillId="0" borderId="1" xfId="0" applyFont="1" applyBorder="1" applyAlignment="1">
      <alignment horizontal="center" wrapText="1"/>
    </xf>
    <xf numFmtId="0" fontId="0" fillId="23" borderId="0" xfId="0" applyFill="1"/>
    <xf numFmtId="0" fontId="0" fillId="23" borderId="0" xfId="0" applyFill="1" applyAlignment="1">
      <alignment horizontal="center"/>
    </xf>
    <xf numFmtId="0" fontId="10" fillId="4" borderId="4" xfId="0" applyFont="1" applyFill="1" applyBorder="1" applyAlignment="1">
      <alignment horizontal="center" vertical="center" wrapText="1"/>
    </xf>
    <xf numFmtId="0" fontId="10" fillId="4" borderId="15" xfId="0" applyFont="1" applyFill="1" applyBorder="1" applyAlignment="1">
      <alignment horizontal="center" wrapText="1"/>
    </xf>
    <xf numFmtId="0" fontId="10" fillId="4" borderId="7" xfId="0" applyFont="1" applyFill="1" applyBorder="1" applyAlignment="1">
      <alignment horizontal="center" wrapText="1"/>
    </xf>
    <xf numFmtId="2" fontId="0" fillId="33" borderId="0" xfId="0" applyNumberFormat="1" applyFill="1" applyAlignment="1">
      <alignment horizontal="left"/>
    </xf>
    <xf numFmtId="2" fontId="0" fillId="33" borderId="0" xfId="0" applyNumberFormat="1" applyFill="1" applyAlignment="1">
      <alignment horizontal="center"/>
    </xf>
    <xf numFmtId="2" fontId="0" fillId="33" borderId="0" xfId="0" quotePrefix="1" applyNumberFormat="1" applyFill="1" applyAlignment="1">
      <alignment horizontal="left"/>
    </xf>
    <xf numFmtId="1" fontId="0" fillId="0" borderId="0" xfId="0" quotePrefix="1" applyNumberFormat="1"/>
    <xf numFmtId="0" fontId="10" fillId="17" borderId="15" xfId="4" applyNumberFormat="1" applyFont="1" applyFill="1" applyBorder="1" applyAlignment="1">
      <alignment horizontal="center" vertical="center"/>
    </xf>
    <xf numFmtId="0" fontId="10" fillId="17" borderId="7" xfId="4" applyNumberFormat="1" applyFont="1" applyFill="1" applyBorder="1" applyAlignment="1">
      <alignment horizontal="center" vertical="center"/>
    </xf>
    <xf numFmtId="0" fontId="61" fillId="34" borderId="15" xfId="0" applyFont="1" applyFill="1" applyBorder="1" applyAlignment="1">
      <alignment horizontal="centerContinuous" vertical="center"/>
    </xf>
    <xf numFmtId="0" fontId="61" fillId="34" borderId="7" xfId="0" applyFont="1" applyFill="1" applyBorder="1" applyAlignment="1">
      <alignment horizontal="centerContinuous" vertical="center"/>
    </xf>
    <xf numFmtId="2" fontId="9" fillId="22" borderId="0" xfId="0" applyNumberFormat="1" applyFont="1" applyFill="1" applyAlignment="1">
      <alignment horizontal="center" vertical="center"/>
    </xf>
    <xf numFmtId="2" fontId="8" fillId="22" borderId="1" xfId="0" applyNumberFormat="1" applyFont="1" applyFill="1" applyBorder="1" applyAlignment="1">
      <alignment horizontal="center" vertical="center"/>
    </xf>
    <xf numFmtId="0" fontId="62" fillId="0" borderId="27" xfId="0" applyFont="1" applyBorder="1" applyAlignment="1">
      <alignment horizontal="center" vertical="center"/>
    </xf>
    <xf numFmtId="0" fontId="62" fillId="0" borderId="0" xfId="0" applyFont="1" applyAlignment="1">
      <alignment horizontal="center" vertical="center"/>
    </xf>
    <xf numFmtId="3" fontId="62" fillId="0" borderId="0" xfId="0" applyNumberFormat="1" applyFont="1" applyAlignment="1">
      <alignment horizontal="center" vertical="center"/>
    </xf>
    <xf numFmtId="2" fontId="62" fillId="0" borderId="0" xfId="0" applyNumberFormat="1" applyFont="1" applyAlignment="1">
      <alignment horizontal="center" vertical="center"/>
    </xf>
    <xf numFmtId="2" fontId="62" fillId="0" borderId="0" xfId="0" applyNumberFormat="1" applyFont="1" applyAlignment="1">
      <alignment horizontal="center"/>
    </xf>
    <xf numFmtId="0" fontId="62" fillId="0" borderId="0" xfId="0" applyFont="1"/>
    <xf numFmtId="2" fontId="3" fillId="0" borderId="0" xfId="0" applyNumberFormat="1" applyFont="1" applyAlignment="1">
      <alignment horizontal="center" vertical="center"/>
    </xf>
    <xf numFmtId="0" fontId="63" fillId="34" borderId="4" xfId="0" applyFont="1" applyFill="1" applyBorder="1" applyAlignment="1">
      <alignment horizontal="left" vertical="center"/>
    </xf>
    <xf numFmtId="0" fontId="63" fillId="34" borderId="15" xfId="0" applyFont="1" applyFill="1" applyBorder="1" applyAlignment="1">
      <alignment horizontal="left" vertical="center"/>
    </xf>
    <xf numFmtId="0" fontId="63" fillId="34" borderId="7" xfId="0" applyFont="1" applyFill="1" applyBorder="1" applyAlignment="1">
      <alignment horizontal="left" vertical="center"/>
    </xf>
    <xf numFmtId="0" fontId="63" fillId="34" borderId="4" xfId="0" applyFont="1" applyFill="1" applyBorder="1" applyAlignment="1">
      <alignment horizontal="centerContinuous" vertical="center"/>
    </xf>
    <xf numFmtId="0" fontId="59" fillId="0" borderId="0" xfId="0" applyFont="1" applyAlignment="1">
      <alignment horizontal="centerContinuous"/>
    </xf>
    <xf numFmtId="0" fontId="64" fillId="0" borderId="0" xfId="0" applyFont="1" applyAlignment="1">
      <alignment horizontal="center" vertical="center"/>
    </xf>
    <xf numFmtId="0" fontId="5" fillId="34" borderId="4" xfId="0" applyFont="1" applyFill="1" applyBorder="1"/>
    <xf numFmtId="0" fontId="63" fillId="34" borderId="15" xfId="0" applyFont="1" applyFill="1" applyBorder="1" applyAlignment="1">
      <alignment horizontal="center" vertical="center"/>
    </xf>
    <xf numFmtId="0" fontId="65" fillId="34" borderId="15" xfId="0" applyFont="1" applyFill="1" applyBorder="1" applyAlignment="1">
      <alignment vertical="center"/>
    </xf>
    <xf numFmtId="0" fontId="65" fillId="34" borderId="15" xfId="0" applyFont="1" applyFill="1" applyBorder="1" applyAlignment="1">
      <alignment horizontal="right" vertical="center"/>
    </xf>
    <xf numFmtId="0" fontId="65" fillId="34" borderId="7" xfId="0" applyFont="1" applyFill="1" applyBorder="1" applyAlignment="1">
      <alignment horizontal="right" vertical="center"/>
    </xf>
    <xf numFmtId="1" fontId="60" fillId="0" borderId="0" xfId="0" applyNumberFormat="1" applyFont="1" applyAlignment="1">
      <alignment horizontal="right"/>
    </xf>
    <xf numFmtId="0" fontId="60" fillId="0" borderId="0" xfId="0" applyFont="1" applyAlignment="1">
      <alignment horizontal="centerContinuous" vertical="center" wrapText="1"/>
    </xf>
    <xf numFmtId="170" fontId="8" fillId="17" borderId="0" xfId="3" applyNumberFormat="1" applyFont="1" applyFill="1" applyBorder="1" applyAlignment="1">
      <alignment horizontal="center" vertical="center"/>
    </xf>
    <xf numFmtId="165" fontId="0" fillId="33" borderId="0" xfId="1" applyNumberFormat="1" applyFont="1" applyFill="1"/>
    <xf numFmtId="165" fontId="0" fillId="0" borderId="0" xfId="1" applyNumberFormat="1" applyFont="1"/>
    <xf numFmtId="165" fontId="58" fillId="32" borderId="0" xfId="1" applyNumberFormat="1" applyFont="1" applyFill="1" applyAlignment="1">
      <alignment horizontal="center"/>
    </xf>
    <xf numFmtId="165" fontId="0" fillId="33" borderId="0" xfId="1" quotePrefix="1" applyNumberFormat="1" applyFont="1" applyFill="1" applyAlignment="1">
      <alignment horizontal="center"/>
    </xf>
    <xf numFmtId="165" fontId="0" fillId="0" borderId="0" xfId="1" quotePrefix="1" applyNumberFormat="1" applyFont="1" applyAlignment="1">
      <alignment horizontal="center" vertical="center"/>
    </xf>
    <xf numFmtId="0" fontId="7" fillId="0" borderId="0" xfId="42" applyFont="1" applyAlignment="1">
      <alignment vertical="center"/>
    </xf>
    <xf numFmtId="0" fontId="7" fillId="0" borderId="26" xfId="42" applyFont="1" applyBorder="1" applyAlignment="1">
      <alignment vertical="center"/>
    </xf>
    <xf numFmtId="2" fontId="7" fillId="0" borderId="0" xfId="42" applyNumberFormat="1" applyFont="1" applyAlignment="1">
      <alignment horizontal="center" vertical="center"/>
    </xf>
    <xf numFmtId="2" fontId="7" fillId="0" borderId="26" xfId="42" applyNumberFormat="1" applyFont="1" applyBorder="1" applyAlignment="1">
      <alignment horizontal="center" vertical="center"/>
    </xf>
    <xf numFmtId="2" fontId="7" fillId="0" borderId="1" xfId="42" applyNumberFormat="1" applyFont="1" applyBorder="1" applyAlignment="1">
      <alignment horizontal="center" vertical="center"/>
    </xf>
    <xf numFmtId="0" fontId="0" fillId="0" borderId="0" xfId="0" applyAlignment="1">
      <alignment horizontal="left"/>
    </xf>
    <xf numFmtId="0" fontId="7" fillId="0" borderId="27" xfId="42" applyFont="1" applyBorder="1" applyAlignment="1">
      <alignment horizontal="left" vertical="center"/>
    </xf>
    <xf numFmtId="0" fontId="7" fillId="0" borderId="0" xfId="42" applyFont="1" applyAlignment="1">
      <alignment horizontal="left" vertical="center"/>
    </xf>
    <xf numFmtId="0" fontId="7" fillId="0" borderId="26" xfId="42" applyFont="1" applyBorder="1" applyAlignment="1">
      <alignment horizontal="left" vertical="center"/>
    </xf>
    <xf numFmtId="0" fontId="4" fillId="0" borderId="27" xfId="42" applyBorder="1" applyAlignment="1">
      <alignment horizontal="left" vertical="center"/>
    </xf>
    <xf numFmtId="2" fontId="4" fillId="0" borderId="0" xfId="42" applyNumberFormat="1" applyAlignment="1">
      <alignment horizontal="left" vertical="center"/>
    </xf>
    <xf numFmtId="2" fontId="4" fillId="0" borderId="26" xfId="42" applyNumberFormat="1" applyBorder="1" applyAlignment="1">
      <alignment horizontal="left" vertical="center"/>
    </xf>
    <xf numFmtId="2" fontId="7" fillId="0" borderId="0" xfId="42" applyNumberFormat="1" applyFont="1" applyAlignment="1">
      <alignment horizontal="left" vertical="center"/>
    </xf>
    <xf numFmtId="2" fontId="7" fillId="0" borderId="26" xfId="42" applyNumberFormat="1" applyFont="1" applyBorder="1" applyAlignment="1">
      <alignment horizontal="left" vertical="center"/>
    </xf>
    <xf numFmtId="0" fontId="7" fillId="0" borderId="11" xfId="42" applyFont="1" applyBorder="1" applyAlignment="1">
      <alignment horizontal="left" vertical="center"/>
    </xf>
    <xf numFmtId="2" fontId="7" fillId="0" borderId="1" xfId="42" applyNumberFormat="1" applyFont="1" applyBorder="1" applyAlignment="1">
      <alignment horizontal="left" vertical="center"/>
    </xf>
    <xf numFmtId="0" fontId="4" fillId="0" borderId="26" xfId="42" applyBorder="1" applyAlignment="1">
      <alignment vertical="center"/>
    </xf>
    <xf numFmtId="9" fontId="7" fillId="0" borderId="0" xfId="3" applyFont="1" applyBorder="1" applyAlignment="1">
      <alignment horizontal="center" vertical="center"/>
    </xf>
    <xf numFmtId="9" fontId="4" fillId="0" borderId="0" xfId="3" applyFont="1" applyBorder="1" applyAlignment="1">
      <alignment horizontal="center" vertical="center"/>
    </xf>
    <xf numFmtId="1" fontId="4" fillId="0" borderId="0" xfId="42" applyNumberFormat="1" applyAlignment="1">
      <alignment horizontal="center" vertical="center"/>
    </xf>
    <xf numFmtId="1" fontId="7" fillId="0" borderId="0" xfId="42" applyNumberFormat="1" applyFont="1" applyAlignment="1">
      <alignment horizontal="center" vertical="center"/>
    </xf>
    <xf numFmtId="9" fontId="7" fillId="0" borderId="1" xfId="3" applyFont="1" applyBorder="1" applyAlignment="1">
      <alignment horizontal="center" vertical="center"/>
    </xf>
    <xf numFmtId="1" fontId="7" fillId="0" borderId="1" xfId="42" applyNumberFormat="1" applyFont="1" applyBorder="1" applyAlignment="1">
      <alignment horizontal="center" vertical="center"/>
    </xf>
    <xf numFmtId="2" fontId="7" fillId="0" borderId="12" xfId="42" applyNumberFormat="1" applyFont="1" applyBorder="1" applyAlignment="1">
      <alignment horizontal="left" vertical="center"/>
    </xf>
    <xf numFmtId="0" fontId="4" fillId="0" borderId="27" xfId="42" applyBorder="1" applyAlignment="1">
      <alignment horizontal="center" vertical="center"/>
    </xf>
    <xf numFmtId="170" fontId="4" fillId="0" borderId="0" xfId="42" applyNumberFormat="1" applyAlignment="1">
      <alignment vertical="center"/>
    </xf>
    <xf numFmtId="3" fontId="4" fillId="0" borderId="0" xfId="42" applyNumberFormat="1" applyAlignment="1">
      <alignment vertical="center"/>
    </xf>
    <xf numFmtId="3" fontId="4" fillId="0" borderId="26" xfId="42" applyNumberFormat="1" applyBorder="1"/>
    <xf numFmtId="3" fontId="4" fillId="0" borderId="27" xfId="42" applyNumberFormat="1" applyBorder="1" applyAlignment="1">
      <alignment horizontal="left" vertical="center" wrapText="1"/>
    </xf>
    <xf numFmtId="0" fontId="4" fillId="0" borderId="27" xfId="42" applyBorder="1" applyAlignment="1">
      <alignment horizontal="center" vertical="center" wrapText="1"/>
    </xf>
    <xf numFmtId="0" fontId="49" fillId="0" borderId="27" xfId="42" applyFont="1" applyBorder="1" applyAlignment="1">
      <alignment vertical="center"/>
    </xf>
    <xf numFmtId="0" fontId="4" fillId="0" borderId="26" xfId="42" applyBorder="1"/>
    <xf numFmtId="0" fontId="7" fillId="31" borderId="0" xfId="42" applyFont="1" applyFill="1" applyAlignment="1">
      <alignment horizontal="center" vertical="center"/>
    </xf>
    <xf numFmtId="0" fontId="7" fillId="31" borderId="26" xfId="42" applyFont="1" applyFill="1" applyBorder="1" applyAlignment="1">
      <alignment horizontal="center" vertical="center"/>
    </xf>
    <xf numFmtId="3" fontId="4" fillId="0" borderId="11" xfId="42" applyNumberFormat="1" applyBorder="1" applyAlignment="1">
      <alignment horizontal="left" vertical="center" wrapText="1"/>
    </xf>
    <xf numFmtId="2" fontId="7" fillId="0" borderId="12" xfId="42" applyNumberFormat="1" applyFont="1" applyBorder="1" applyAlignment="1">
      <alignment horizontal="center" vertical="center"/>
    </xf>
    <xf numFmtId="9" fontId="4" fillId="0" borderId="14" xfId="3" applyFont="1" applyBorder="1" applyAlignment="1">
      <alignment horizontal="center" vertical="center"/>
    </xf>
    <xf numFmtId="9" fontId="4" fillId="0" borderId="5" xfId="3" applyFont="1" applyBorder="1" applyAlignment="1">
      <alignment horizontal="center" vertical="center"/>
    </xf>
    <xf numFmtId="171" fontId="66" fillId="0" borderId="0" xfId="46" applyFont="1"/>
    <xf numFmtId="171" fontId="10" fillId="16" borderId="0" xfId="46" applyFont="1" applyFill="1" applyAlignment="1">
      <alignment horizontal="center" vertical="center"/>
    </xf>
    <xf numFmtId="0" fontId="8" fillId="24" borderId="0" xfId="0" applyFont="1" applyFill="1" applyAlignment="1">
      <alignment horizontal="center" vertical="center"/>
    </xf>
    <xf numFmtId="0" fontId="8" fillId="24" borderId="0" xfId="0" applyFont="1" applyFill="1" applyAlignment="1">
      <alignment horizontal="center" vertical="center" wrapText="1"/>
    </xf>
    <xf numFmtId="171" fontId="10" fillId="16" borderId="6" xfId="46" applyFont="1" applyFill="1" applyBorder="1" applyAlignment="1">
      <alignment horizontal="center"/>
    </xf>
    <xf numFmtId="171" fontId="3" fillId="0" borderId="0" xfId="0" applyNumberFormat="1" applyFont="1"/>
    <xf numFmtId="171" fontId="3" fillId="0" borderId="26" xfId="0" applyNumberFormat="1" applyFont="1" applyBorder="1"/>
    <xf numFmtId="178" fontId="3" fillId="0" borderId="26" xfId="0" applyNumberFormat="1" applyFont="1" applyBorder="1"/>
    <xf numFmtId="174" fontId="3" fillId="0" borderId="0" xfId="0" applyNumberFormat="1" applyFont="1"/>
    <xf numFmtId="174" fontId="3" fillId="0" borderId="26" xfId="0" applyNumberFormat="1" applyFont="1" applyBorder="1"/>
    <xf numFmtId="174" fontId="3" fillId="0" borderId="1" xfId="0" applyNumberFormat="1" applyFont="1" applyBorder="1"/>
    <xf numFmtId="174" fontId="3" fillId="0" borderId="12" xfId="0" applyNumberFormat="1" applyFont="1" applyBorder="1"/>
    <xf numFmtId="173" fontId="3" fillId="0" borderId="26" xfId="0" applyNumberFormat="1" applyFont="1" applyBorder="1" applyAlignment="1">
      <alignment horizontal="center"/>
    </xf>
    <xf numFmtId="1" fontId="4" fillId="0" borderId="11" xfId="0" applyNumberFormat="1" applyFont="1" applyBorder="1" applyAlignment="1">
      <alignment horizontal="center"/>
    </xf>
    <xf numFmtId="171" fontId="67" fillId="16" borderId="8" xfId="46" applyFont="1" applyFill="1" applyBorder="1" applyAlignment="1">
      <alignment horizontal="center"/>
    </xf>
    <xf numFmtId="171" fontId="67" fillId="16" borderId="0" xfId="46" applyFont="1" applyFill="1" applyAlignment="1">
      <alignment horizontal="center"/>
    </xf>
    <xf numFmtId="171" fontId="67" fillId="16" borderId="10" xfId="46" applyFont="1" applyFill="1" applyBorder="1" applyAlignment="1">
      <alignment horizontal="center"/>
    </xf>
    <xf numFmtId="0" fontId="68" fillId="0" borderId="27" xfId="0" applyFont="1" applyBorder="1"/>
    <xf numFmtId="0" fontId="68" fillId="0" borderId="0" xfId="0" applyFont="1"/>
    <xf numFmtId="0" fontId="68" fillId="0" borderId="26" xfId="0" applyFont="1" applyBorder="1"/>
    <xf numFmtId="171" fontId="67" fillId="20" borderId="27" xfId="46" applyFont="1" applyFill="1" applyBorder="1"/>
    <xf numFmtId="171" fontId="68" fillId="0" borderId="0" xfId="0" applyNumberFormat="1" applyFont="1"/>
    <xf numFmtId="171" fontId="68" fillId="0" borderId="26" xfId="0" applyNumberFormat="1" applyFont="1" applyBorder="1"/>
    <xf numFmtId="171" fontId="68" fillId="16" borderId="27" xfId="46" applyFont="1" applyFill="1" applyBorder="1"/>
    <xf numFmtId="171" fontId="68" fillId="0" borderId="0" xfId="0" applyNumberFormat="1" applyFont="1" applyAlignment="1">
      <alignment horizontal="center"/>
    </xf>
    <xf numFmtId="178" fontId="68" fillId="0" borderId="26" xfId="0" applyNumberFormat="1" applyFont="1" applyBorder="1"/>
    <xf numFmtId="171" fontId="67" fillId="4" borderId="27" xfId="46" applyFont="1" applyFill="1" applyBorder="1"/>
    <xf numFmtId="171" fontId="67" fillId="16" borderId="27" xfId="46" applyFont="1" applyFill="1" applyBorder="1" applyAlignment="1">
      <alignment vertical="center"/>
    </xf>
    <xf numFmtId="171" fontId="67" fillId="16" borderId="0" xfId="46" applyFont="1" applyFill="1" applyAlignment="1">
      <alignment vertical="center"/>
    </xf>
    <xf numFmtId="171" fontId="67" fillId="16" borderId="26" xfId="46" applyFont="1" applyFill="1" applyBorder="1" applyAlignment="1">
      <alignment horizontal="center" vertical="center"/>
    </xf>
    <xf numFmtId="174" fontId="68" fillId="0" borderId="0" xfId="0" applyNumberFormat="1" applyFont="1"/>
    <xf numFmtId="171" fontId="68" fillId="16" borderId="11" xfId="46" applyFont="1" applyFill="1" applyBorder="1"/>
    <xf numFmtId="174" fontId="68" fillId="0" borderId="1" xfId="0" applyNumberFormat="1" applyFont="1" applyBorder="1"/>
    <xf numFmtId="174" fontId="68" fillId="0" borderId="12" xfId="0" applyNumberFormat="1" applyFont="1" applyBorder="1"/>
    <xf numFmtId="171" fontId="70" fillId="0" borderId="0" xfId="46" applyFont="1"/>
    <xf numFmtId="171" fontId="69" fillId="0" borderId="0" xfId="46" applyFont="1"/>
    <xf numFmtId="2" fontId="70" fillId="0" borderId="0" xfId="46" applyNumberFormat="1" applyFont="1" applyAlignment="1">
      <alignment horizontal="center"/>
    </xf>
    <xf numFmtId="2" fontId="69" fillId="0" borderId="0" xfId="46" applyNumberFormat="1" applyFont="1" applyAlignment="1">
      <alignment horizontal="center"/>
    </xf>
    <xf numFmtId="9" fontId="70" fillId="0" borderId="0" xfId="3" applyFont="1" applyFill="1" applyBorder="1" applyAlignment="1">
      <alignment horizontal="center"/>
    </xf>
    <xf numFmtId="9" fontId="33" fillId="0" borderId="0" xfId="3" applyFont="1" applyFill="1" applyBorder="1" applyAlignment="1">
      <alignment horizontal="center"/>
    </xf>
    <xf numFmtId="1" fontId="10" fillId="28" borderId="0" xfId="0" applyNumberFormat="1" applyFont="1" applyFill="1" applyAlignment="1">
      <alignment horizontal="center" vertical="center"/>
    </xf>
    <xf numFmtId="1" fontId="71" fillId="0" borderId="0" xfId="0" applyNumberFormat="1" applyFont="1" applyAlignment="1">
      <alignment horizontal="center"/>
    </xf>
    <xf numFmtId="1" fontId="72" fillId="0" borderId="0" xfId="0" applyNumberFormat="1" applyFont="1" applyAlignment="1">
      <alignment horizontal="center"/>
    </xf>
    <xf numFmtId="0" fontId="71" fillId="0" borderId="0" xfId="0" applyFont="1" applyAlignment="1">
      <alignment wrapText="1"/>
    </xf>
    <xf numFmtId="0" fontId="73" fillId="0" borderId="0" xfId="0" applyFont="1" applyAlignment="1">
      <alignment wrapText="1"/>
    </xf>
    <xf numFmtId="0" fontId="7" fillId="17" borderId="8" xfId="0" applyFont="1" applyFill="1" applyBorder="1" applyAlignment="1">
      <alignment horizontal="center" vertical="center" textRotation="90" wrapText="1"/>
    </xf>
    <xf numFmtId="0" fontId="7" fillId="17" borderId="27" xfId="0" applyFont="1" applyFill="1" applyBorder="1" applyAlignment="1">
      <alignment horizontal="center" vertical="center" textRotation="90" wrapText="1"/>
    </xf>
    <xf numFmtId="0" fontId="3" fillId="4" borderId="27" xfId="0" applyFont="1" applyFill="1" applyBorder="1" applyAlignment="1">
      <alignment horizontal="right" vertical="center" wrapText="1"/>
    </xf>
    <xf numFmtId="0" fontId="3" fillId="4" borderId="26" xfId="0" applyFont="1" applyFill="1" applyBorder="1" applyAlignment="1">
      <alignment horizontal="right" vertical="center" wrapText="1"/>
    </xf>
    <xf numFmtId="0" fontId="3" fillId="4" borderId="27" xfId="0" applyFont="1" applyFill="1" applyBorder="1" applyAlignment="1">
      <alignment horizontal="center" vertical="center" wrapText="1"/>
    </xf>
    <xf numFmtId="0" fontId="3" fillId="4" borderId="26" xfId="0" applyFont="1" applyFill="1" applyBorder="1" applyAlignment="1">
      <alignment horizontal="center" vertical="center" wrapText="1"/>
    </xf>
    <xf numFmtId="0" fontId="7" fillId="4" borderId="6" xfId="0" applyFont="1" applyFill="1" applyBorder="1" applyAlignment="1">
      <alignment horizontal="center" vertical="center" textRotation="90"/>
    </xf>
    <xf numFmtId="0" fontId="7" fillId="4" borderId="14" xfId="0" applyFont="1" applyFill="1" applyBorder="1" applyAlignment="1">
      <alignment horizontal="center" vertical="center" textRotation="90"/>
    </xf>
    <xf numFmtId="0" fontId="7" fillId="4" borderId="5" xfId="0" applyFont="1" applyFill="1" applyBorder="1" applyAlignment="1">
      <alignment horizontal="center" vertical="center" textRotation="90"/>
    </xf>
    <xf numFmtId="0" fontId="7" fillId="4" borderId="8" xfId="0" applyFont="1" applyFill="1" applyBorder="1" applyAlignment="1">
      <alignment horizontal="center" vertical="center" textRotation="90"/>
    </xf>
    <xf numFmtId="0" fontId="7" fillId="4" borderId="27" xfId="0" applyFont="1" applyFill="1" applyBorder="1" applyAlignment="1">
      <alignment horizontal="center" vertical="center" textRotation="90"/>
    </xf>
    <xf numFmtId="0" fontId="7" fillId="4" borderId="11" xfId="0" applyFont="1" applyFill="1" applyBorder="1" applyAlignment="1">
      <alignment horizontal="center" vertical="center" textRotation="90"/>
    </xf>
    <xf numFmtId="0" fontId="51" fillId="0" borderId="0" xfId="0" applyFont="1" applyAlignment="1">
      <alignment horizontal="left" vertical="top" wrapText="1"/>
    </xf>
    <xf numFmtId="0" fontId="51" fillId="0" borderId="26" xfId="0" applyFont="1" applyBorder="1" applyAlignment="1">
      <alignment horizontal="left" vertical="top" wrapText="1"/>
    </xf>
    <xf numFmtId="0" fontId="51" fillId="0" borderId="6" xfId="0" applyFont="1" applyBorder="1" applyAlignment="1">
      <alignment horizontal="center" vertical="center"/>
    </xf>
    <xf numFmtId="0" fontId="51" fillId="0" borderId="14" xfId="0" applyFont="1" applyBorder="1" applyAlignment="1">
      <alignment horizontal="center" vertical="center"/>
    </xf>
    <xf numFmtId="0" fontId="51" fillId="0" borderId="5" xfId="0" applyFont="1" applyBorder="1" applyAlignment="1">
      <alignment horizontal="center" vertical="center"/>
    </xf>
    <xf numFmtId="0" fontId="51" fillId="4" borderId="6" xfId="0" applyFont="1" applyFill="1" applyBorder="1" applyAlignment="1">
      <alignment horizontal="center" vertical="center"/>
    </xf>
    <xf numFmtId="0" fontId="51" fillId="4" borderId="14" xfId="0" applyFont="1" applyFill="1" applyBorder="1" applyAlignment="1">
      <alignment horizontal="center" vertical="center"/>
    </xf>
    <xf numFmtId="0" fontId="51" fillId="4" borderId="0" xfId="0" applyFont="1" applyFill="1" applyAlignment="1">
      <alignment horizontal="center" vertical="center"/>
    </xf>
    <xf numFmtId="0" fontId="51" fillId="0" borderId="6" xfId="0" applyFont="1" applyBorder="1" applyAlignment="1">
      <alignment horizontal="center"/>
    </xf>
    <xf numFmtId="0" fontId="51" fillId="0" borderId="5" xfId="0" applyFont="1" applyBorder="1" applyAlignment="1">
      <alignment horizontal="center"/>
    </xf>
    <xf numFmtId="0" fontId="51" fillId="0" borderId="8" xfId="0" applyFont="1" applyBorder="1" applyAlignment="1">
      <alignment horizontal="center" vertical="center"/>
    </xf>
    <xf numFmtId="0" fontId="51" fillId="0" borderId="27" xfId="0" applyFont="1" applyBorder="1" applyAlignment="1">
      <alignment horizontal="center" vertical="center"/>
    </xf>
    <xf numFmtId="0" fontId="51" fillId="0" borderId="11" xfId="0" applyFont="1" applyBorder="1" applyAlignment="1">
      <alignment horizontal="center" vertical="center"/>
    </xf>
    <xf numFmtId="0" fontId="51" fillId="4" borderId="6" xfId="0" applyFont="1" applyFill="1" applyBorder="1" applyAlignment="1">
      <alignment horizontal="center" vertical="center" wrapText="1"/>
    </xf>
    <xf numFmtId="0" fontId="51" fillId="4" borderId="14" xfId="0" applyFont="1" applyFill="1" applyBorder="1" applyAlignment="1">
      <alignment horizontal="center" vertical="center" wrapText="1"/>
    </xf>
    <xf numFmtId="0" fontId="51" fillId="4" borderId="5" xfId="0" applyFont="1" applyFill="1" applyBorder="1" applyAlignment="1">
      <alignment horizontal="center" vertical="center" wrapText="1"/>
    </xf>
    <xf numFmtId="0" fontId="51" fillId="4" borderId="9" xfId="0" applyFont="1" applyFill="1" applyBorder="1" applyAlignment="1">
      <alignment horizontal="center" vertical="center"/>
    </xf>
    <xf numFmtId="0" fontId="51" fillId="4" borderId="1" xfId="0" applyFont="1" applyFill="1" applyBorder="1" applyAlignment="1">
      <alignment horizontal="center" vertical="center"/>
    </xf>
    <xf numFmtId="0" fontId="51" fillId="0" borderId="6" xfId="0" applyFont="1" applyBorder="1" applyAlignment="1">
      <alignment horizontal="center" vertical="center" wrapText="1"/>
    </xf>
    <xf numFmtId="0" fontId="51" fillId="0" borderId="14" xfId="0" applyFont="1" applyBorder="1" applyAlignment="1">
      <alignment horizontal="center" vertical="center" wrapText="1"/>
    </xf>
    <xf numFmtId="0" fontId="51" fillId="0" borderId="5" xfId="0" applyFont="1" applyBorder="1" applyAlignment="1">
      <alignment horizontal="center" vertical="center" wrapText="1"/>
    </xf>
    <xf numFmtId="0" fontId="51" fillId="0" borderId="9" xfId="0" applyFont="1" applyBorder="1" applyAlignment="1">
      <alignment horizontal="center" vertical="center"/>
    </xf>
    <xf numFmtId="0" fontId="51" fillId="0" borderId="0" xfId="0" applyFont="1" applyAlignment="1">
      <alignment horizontal="center" vertical="center"/>
    </xf>
    <xf numFmtId="0" fontId="51" fillId="0" borderId="1" xfId="0" applyFont="1" applyBorder="1" applyAlignment="1">
      <alignment horizontal="center" vertical="center"/>
    </xf>
    <xf numFmtId="0" fontId="38" fillId="0" borderId="30" xfId="0" applyFont="1" applyBorder="1" applyAlignment="1">
      <alignment vertical="top"/>
    </xf>
    <xf numFmtId="0" fontId="38" fillId="0" borderId="3" xfId="0" applyFont="1" applyBorder="1" applyAlignment="1">
      <alignment vertical="top"/>
    </xf>
    <xf numFmtId="171" fontId="10" fillId="16" borderId="9" xfId="46" applyFont="1" applyFill="1" applyBorder="1" applyAlignment="1">
      <alignment horizontal="center"/>
    </xf>
    <xf numFmtId="171" fontId="10" fillId="16" borderId="10" xfId="46" applyFont="1" applyFill="1" applyBorder="1" applyAlignment="1">
      <alignment horizontal="center"/>
    </xf>
    <xf numFmtId="0" fontId="39" fillId="0" borderId="3" xfId="0" applyFont="1" applyBorder="1" applyAlignment="1">
      <alignment vertical="center"/>
    </xf>
    <xf numFmtId="0" fontId="10" fillId="0" borderId="30" xfId="0" applyFont="1" applyBorder="1" applyAlignment="1">
      <alignment vertical="center"/>
    </xf>
    <xf numFmtId="0" fontId="41" fillId="0" borderId="3" xfId="0" applyFont="1" applyBorder="1" applyAlignment="1">
      <alignment vertical="center"/>
    </xf>
    <xf numFmtId="171" fontId="54" fillId="27" borderId="0" xfId="46" applyFont="1" applyFill="1" applyAlignment="1">
      <alignment horizontal="center"/>
    </xf>
    <xf numFmtId="171" fontId="69" fillId="27" borderId="0" xfId="46" applyFont="1" applyFill="1" applyAlignment="1">
      <alignment horizontal="center"/>
    </xf>
    <xf numFmtId="0" fontId="3" fillId="0" borderId="0" xfId="0" applyFont="1" applyAlignment="1">
      <alignment horizontal="left" vertical="top" wrapText="1"/>
    </xf>
    <xf numFmtId="0" fontId="3" fillId="0" borderId="26" xfId="0" applyFont="1" applyBorder="1" applyAlignment="1">
      <alignment horizontal="left" vertical="top" wrapText="1"/>
    </xf>
    <xf numFmtId="0" fontId="3" fillId="0" borderId="6" xfId="0" applyFont="1" applyBorder="1" applyAlignment="1">
      <alignment horizontal="center" vertical="center"/>
    </xf>
    <xf numFmtId="0" fontId="3" fillId="0" borderId="14" xfId="0" applyFont="1" applyBorder="1" applyAlignment="1">
      <alignment horizontal="center" vertical="center"/>
    </xf>
    <xf numFmtId="0" fontId="3" fillId="0" borderId="5" xfId="0" applyFont="1" applyBorder="1" applyAlignment="1">
      <alignment horizontal="center" vertical="center"/>
    </xf>
    <xf numFmtId="0" fontId="3" fillId="0" borderId="8" xfId="0" applyFont="1" applyBorder="1" applyAlignment="1">
      <alignment horizontal="center" vertical="center"/>
    </xf>
    <xf numFmtId="0" fontId="3" fillId="0" borderId="27" xfId="0" applyFont="1" applyBorder="1" applyAlignment="1">
      <alignment horizontal="center" vertical="center"/>
    </xf>
    <xf numFmtId="0" fontId="3" fillId="0" borderId="11" xfId="0" applyFont="1" applyBorder="1" applyAlignment="1">
      <alignment horizontal="center" vertical="center"/>
    </xf>
    <xf numFmtId="0" fontId="3" fillId="4" borderId="6" xfId="0" applyFont="1" applyFill="1" applyBorder="1" applyAlignment="1">
      <alignment horizontal="center" vertical="center" wrapText="1"/>
    </xf>
    <xf numFmtId="0" fontId="3" fillId="4" borderId="14" xfId="0" applyFont="1" applyFill="1" applyBorder="1" applyAlignment="1">
      <alignment horizontal="center" vertical="center" wrapText="1"/>
    </xf>
    <xf numFmtId="0" fontId="3" fillId="4" borderId="9" xfId="0" applyFont="1" applyFill="1" applyBorder="1" applyAlignment="1">
      <alignment horizontal="center" vertical="center"/>
    </xf>
    <xf numFmtId="0" fontId="3" fillId="4" borderId="0" xfId="0" applyFont="1" applyFill="1" applyAlignment="1">
      <alignment horizontal="center" vertical="center"/>
    </xf>
    <xf numFmtId="0" fontId="3" fillId="0" borderId="6"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9" xfId="0" applyFont="1" applyBorder="1" applyAlignment="1">
      <alignment horizontal="center" vertical="center"/>
    </xf>
    <xf numFmtId="0" fontId="3" fillId="0" borderId="0" xfId="0" applyFont="1" applyAlignment="1">
      <alignment horizontal="center" vertical="center"/>
    </xf>
    <xf numFmtId="0" fontId="3" fillId="0" borderId="1" xfId="0" applyFont="1" applyBorder="1" applyAlignment="1">
      <alignment horizontal="center" vertical="center"/>
    </xf>
    <xf numFmtId="0" fontId="3" fillId="4" borderId="6" xfId="0" applyFont="1" applyFill="1" applyBorder="1" applyAlignment="1">
      <alignment horizontal="center" vertical="center"/>
    </xf>
    <xf numFmtId="0" fontId="3" fillId="4" borderId="14" xfId="0" applyFont="1" applyFill="1" applyBorder="1" applyAlignment="1">
      <alignment horizontal="center" vertical="center"/>
    </xf>
    <xf numFmtId="0" fontId="10" fillId="0" borderId="0" xfId="0" applyFont="1" applyAlignment="1">
      <alignment horizontal="center"/>
    </xf>
    <xf numFmtId="0" fontId="72" fillId="0" borderId="0" xfId="0" applyFont="1" applyAlignment="1">
      <alignment horizontal="center"/>
    </xf>
    <xf numFmtId="0" fontId="10" fillId="0" borderId="0" xfId="0" applyFont="1" applyAlignment="1">
      <alignment horizontal="left"/>
    </xf>
    <xf numFmtId="0" fontId="7" fillId="4" borderId="2" xfId="0" applyFont="1" applyFill="1" applyBorder="1" applyAlignment="1">
      <alignment horizontal="center" vertical="center"/>
    </xf>
    <xf numFmtId="0" fontId="10" fillId="17" borderId="8" xfId="0" applyFont="1" applyFill="1" applyBorder="1" applyAlignment="1">
      <alignment horizontal="center" vertical="center" wrapText="1"/>
    </xf>
    <xf numFmtId="0" fontId="10" fillId="17" borderId="9" xfId="0" applyFont="1" applyFill="1" applyBorder="1" applyAlignment="1">
      <alignment horizontal="center" vertical="center" wrapText="1"/>
    </xf>
    <xf numFmtId="0" fontId="10" fillId="17" borderId="10" xfId="0" applyFont="1" applyFill="1" applyBorder="1" applyAlignment="1">
      <alignment horizontal="center" vertical="center" wrapText="1"/>
    </xf>
    <xf numFmtId="0" fontId="9" fillId="0" borderId="0" xfId="0" applyFont="1" applyAlignment="1">
      <alignment horizontal="left" vertical="top" wrapText="1"/>
    </xf>
    <xf numFmtId="0" fontId="44" fillId="0" borderId="8" xfId="0" applyFont="1" applyBorder="1" applyAlignment="1">
      <alignment horizontal="center" vertical="center" wrapText="1"/>
    </xf>
    <xf numFmtId="0" fontId="44" fillId="0" borderId="27" xfId="0" applyFont="1" applyBorder="1" applyAlignment="1">
      <alignment horizontal="center" vertical="center" wrapText="1"/>
    </xf>
    <xf numFmtId="0" fontId="44" fillId="0" borderId="11" xfId="0" applyFont="1" applyBorder="1" applyAlignment="1">
      <alignment horizontal="center" vertical="center" wrapText="1"/>
    </xf>
    <xf numFmtId="0" fontId="10" fillId="4" borderId="11" xfId="0" applyFont="1" applyFill="1" applyBorder="1" applyAlignment="1">
      <alignment horizontal="center" vertical="center" wrapText="1"/>
    </xf>
    <xf numFmtId="0" fontId="10" fillId="4" borderId="1" xfId="0" applyFont="1" applyFill="1" applyBorder="1" applyAlignment="1">
      <alignment horizontal="center" vertical="center" wrapText="1"/>
    </xf>
    <xf numFmtId="2" fontId="10" fillId="17" borderId="9" xfId="4" applyNumberFormat="1" applyFont="1" applyFill="1" applyBorder="1" applyAlignment="1">
      <alignment horizontal="center" vertical="center"/>
    </xf>
    <xf numFmtId="0" fontId="10" fillId="3" borderId="4" xfId="0" applyFont="1" applyFill="1" applyBorder="1" applyAlignment="1">
      <alignment horizontal="center" vertical="center"/>
    </xf>
    <xf numFmtId="0" fontId="10" fillId="3" borderId="15" xfId="0" applyFont="1" applyFill="1" applyBorder="1" applyAlignment="1">
      <alignment horizontal="center" vertical="center"/>
    </xf>
    <xf numFmtId="0" fontId="10" fillId="17" borderId="0" xfId="0" applyFont="1" applyFill="1" applyAlignment="1">
      <alignment horizontal="center" vertical="center"/>
    </xf>
    <xf numFmtId="0" fontId="10" fillId="17" borderId="1" xfId="0" applyFont="1" applyFill="1" applyBorder="1" applyAlignment="1">
      <alignment horizontal="center" vertical="center"/>
    </xf>
    <xf numFmtId="2" fontId="8" fillId="0" borderId="0" xfId="0" applyNumberFormat="1" applyFont="1" applyAlignment="1">
      <alignment horizontal="center" vertical="center" wrapText="1"/>
    </xf>
    <xf numFmtId="0" fontId="10" fillId="0" borderId="4" xfId="4" applyFont="1" applyFill="1" applyBorder="1" applyAlignment="1">
      <alignment horizontal="center" vertical="center"/>
    </xf>
    <xf numFmtId="0" fontId="10" fillId="0" borderId="15" xfId="4" applyFont="1" applyFill="1" applyBorder="1" applyAlignment="1">
      <alignment horizontal="center" vertical="center"/>
    </xf>
    <xf numFmtId="0" fontId="10" fillId="17" borderId="8" xfId="4" applyFont="1" applyFill="1" applyBorder="1" applyAlignment="1">
      <alignment horizontal="center" vertical="center"/>
    </xf>
    <xf numFmtId="0" fontId="10" fillId="17" borderId="9" xfId="4" applyFont="1" applyFill="1" applyBorder="1" applyAlignment="1">
      <alignment horizontal="center" vertical="center"/>
    </xf>
    <xf numFmtId="0" fontId="10" fillId="0" borderId="4" xfId="0" applyFont="1" applyBorder="1" applyAlignment="1">
      <alignment horizontal="center" vertical="center"/>
    </xf>
    <xf numFmtId="0" fontId="10" fillId="0" borderId="15" xfId="0" applyFont="1" applyBorder="1" applyAlignment="1">
      <alignment horizontal="center" vertical="center"/>
    </xf>
    <xf numFmtId="0" fontId="10" fillId="17" borderId="27" xfId="4" applyFont="1" applyFill="1" applyBorder="1" applyAlignment="1">
      <alignment horizontal="center" vertical="center"/>
    </xf>
    <xf numFmtId="0" fontId="10" fillId="17" borderId="11" xfId="4" applyFont="1" applyFill="1" applyBorder="1" applyAlignment="1">
      <alignment horizontal="center" vertical="center"/>
    </xf>
    <xf numFmtId="0" fontId="10" fillId="3" borderId="11" xfId="0" applyFont="1" applyFill="1" applyBorder="1" applyAlignment="1">
      <alignment horizontal="center"/>
    </xf>
    <xf numFmtId="0" fontId="10" fillId="3" borderId="1" xfId="0" applyFont="1" applyFill="1" applyBorder="1" applyAlignment="1">
      <alignment horizontal="center"/>
    </xf>
    <xf numFmtId="0" fontId="10" fillId="3" borderId="12" xfId="0" applyFont="1" applyFill="1" applyBorder="1" applyAlignment="1">
      <alignment horizontal="center"/>
    </xf>
    <xf numFmtId="2" fontId="10" fillId="17" borderId="8" xfId="4" applyNumberFormat="1" applyFont="1" applyFill="1" applyBorder="1" applyAlignment="1">
      <alignment horizontal="center" vertical="center"/>
    </xf>
    <xf numFmtId="2" fontId="10" fillId="17" borderId="10" xfId="4" applyNumberFormat="1" applyFont="1" applyFill="1" applyBorder="1" applyAlignment="1">
      <alignment horizontal="center" vertical="center"/>
    </xf>
    <xf numFmtId="0" fontId="7" fillId="4" borderId="8" xfId="42" applyFont="1" applyFill="1" applyBorder="1" applyAlignment="1">
      <alignment horizontal="center" vertical="center"/>
    </xf>
    <xf numFmtId="0" fontId="7" fillId="4" borderId="9" xfId="42" applyFont="1" applyFill="1" applyBorder="1" applyAlignment="1">
      <alignment horizontal="center" vertical="center"/>
    </xf>
    <xf numFmtId="0" fontId="7" fillId="4" borderId="10" xfId="42" applyFont="1" applyFill="1" applyBorder="1" applyAlignment="1">
      <alignment horizontal="center" vertical="center"/>
    </xf>
    <xf numFmtId="0" fontId="50" fillId="0" borderId="27" xfId="42" applyFont="1" applyBorder="1" applyAlignment="1">
      <alignment horizontal="right" vertical="center"/>
    </xf>
    <xf numFmtId="0" fontId="50" fillId="0" borderId="0" xfId="42" applyFont="1" applyAlignment="1">
      <alignment horizontal="right" vertical="center"/>
    </xf>
    <xf numFmtId="0" fontId="50" fillId="0" borderId="26" xfId="42" applyFont="1" applyBorder="1" applyAlignment="1">
      <alignment horizontal="right" vertical="center"/>
    </xf>
    <xf numFmtId="0" fontId="7" fillId="26" borderId="11" xfId="0" applyFont="1" applyFill="1" applyBorder="1" applyAlignment="1">
      <alignment horizontal="center" vertical="center"/>
    </xf>
    <xf numFmtId="0" fontId="7" fillId="26" borderId="1" xfId="0" applyFont="1" applyFill="1" applyBorder="1" applyAlignment="1">
      <alignment horizontal="center" vertical="center"/>
    </xf>
    <xf numFmtId="0" fontId="8" fillId="4" borderId="8" xfId="0" applyFont="1" applyFill="1" applyBorder="1" applyAlignment="1">
      <alignment horizontal="center" vertical="center"/>
    </xf>
    <xf numFmtId="0" fontId="8" fillId="4" borderId="9" xfId="0" applyFont="1" applyFill="1" applyBorder="1" applyAlignment="1">
      <alignment horizontal="center" vertical="center"/>
    </xf>
    <xf numFmtId="0" fontId="8" fillId="4" borderId="27" xfId="0" applyFont="1" applyFill="1" applyBorder="1" applyAlignment="1">
      <alignment horizontal="center" vertical="center"/>
    </xf>
    <xf numFmtId="0" fontId="8" fillId="4" borderId="0" xfId="0" applyFont="1" applyFill="1" applyAlignment="1">
      <alignment horizontal="center" vertical="center"/>
    </xf>
    <xf numFmtId="0" fontId="9" fillId="4" borderId="8" xfId="0" applyFont="1" applyFill="1" applyBorder="1" applyAlignment="1">
      <alignment horizontal="center" vertical="center" wrapText="1"/>
    </xf>
    <xf numFmtId="0" fontId="9" fillId="4" borderId="27" xfId="0" applyFont="1" applyFill="1" applyBorder="1" applyAlignment="1">
      <alignment horizontal="center" vertical="center" wrapText="1"/>
    </xf>
    <xf numFmtId="0" fontId="2" fillId="4" borderId="0" xfId="0" applyFont="1" applyFill="1" applyAlignment="1">
      <alignment horizontal="center" wrapText="1"/>
    </xf>
    <xf numFmtId="0" fontId="7" fillId="4" borderId="8" xfId="44" applyFont="1" applyFill="1" applyBorder="1" applyAlignment="1">
      <alignment horizontal="center" vertical="center"/>
    </xf>
    <xf numFmtId="0" fontId="7" fillId="4" borderId="10" xfId="44" applyFont="1" applyFill="1" applyBorder="1" applyAlignment="1">
      <alignment horizontal="center" vertical="center"/>
    </xf>
    <xf numFmtId="0" fontId="7" fillId="0" borderId="27" xfId="44" applyFont="1" applyBorder="1" applyAlignment="1">
      <alignment horizontal="right" vertical="center"/>
    </xf>
    <xf numFmtId="0" fontId="7" fillId="0" borderId="26" xfId="44" applyFont="1" applyBorder="1" applyAlignment="1">
      <alignment horizontal="right" vertical="center"/>
    </xf>
    <xf numFmtId="0" fontId="7" fillId="0" borderId="0" xfId="44" applyFont="1" applyAlignment="1">
      <alignment horizontal="right" vertical="center"/>
    </xf>
    <xf numFmtId="0" fontId="7" fillId="26" borderId="6" xfId="0" applyFont="1" applyFill="1" applyBorder="1" applyAlignment="1">
      <alignment horizontal="center" vertical="center"/>
    </xf>
    <xf numFmtId="0" fontId="4" fillId="0" borderId="0" xfId="44" applyAlignment="1">
      <alignment horizontal="left" vertical="top" wrapText="1"/>
    </xf>
    <xf numFmtId="0" fontId="7" fillId="4" borderId="9" xfId="44" applyFont="1" applyFill="1" applyBorder="1" applyAlignment="1">
      <alignment horizontal="center" vertical="center"/>
    </xf>
    <xf numFmtId="0" fontId="4" fillId="0" borderId="27" xfId="42" applyBorder="1" applyAlignment="1">
      <alignment horizontal="center" vertical="center"/>
    </xf>
    <xf numFmtId="0" fontId="4" fillId="0" borderId="0" xfId="42" applyAlignment="1">
      <alignment horizontal="center" vertical="center"/>
    </xf>
    <xf numFmtId="0" fontId="4" fillId="0" borderId="26" xfId="42" applyBorder="1" applyAlignment="1">
      <alignment horizontal="center" vertical="center"/>
    </xf>
    <xf numFmtId="0" fontId="7" fillId="0" borderId="27" xfId="42" applyFont="1" applyBorder="1" applyAlignment="1">
      <alignment horizontal="right" vertical="center"/>
    </xf>
    <xf numFmtId="0" fontId="7" fillId="0" borderId="0" xfId="42" applyFont="1" applyAlignment="1">
      <alignment horizontal="right" vertical="center"/>
    </xf>
    <xf numFmtId="0" fontId="7" fillId="0" borderId="26" xfId="42" applyFont="1" applyBorder="1" applyAlignment="1">
      <alignment horizontal="right" vertical="center"/>
    </xf>
    <xf numFmtId="0" fontId="7" fillId="4" borderId="27" xfId="42" applyFont="1" applyFill="1" applyBorder="1" applyAlignment="1">
      <alignment horizontal="center" vertical="center"/>
    </xf>
    <xf numFmtId="0" fontId="7" fillId="4" borderId="0" xfId="42" applyFont="1" applyFill="1" applyAlignment="1">
      <alignment horizontal="center" vertical="center"/>
    </xf>
    <xf numFmtId="0" fontId="7" fillId="4" borderId="26" xfId="42" applyFont="1" applyFill="1" applyBorder="1" applyAlignment="1">
      <alignment horizontal="center" vertical="center"/>
    </xf>
    <xf numFmtId="3" fontId="4" fillId="0" borderId="27" xfId="42" applyNumberFormat="1" applyBorder="1" applyAlignment="1">
      <alignment horizontal="left" vertical="center" wrapText="1"/>
    </xf>
    <xf numFmtId="0" fontId="3" fillId="17" borderId="2" xfId="0" applyFont="1" applyFill="1" applyBorder="1" applyAlignment="1">
      <alignment horizontal="center"/>
    </xf>
    <xf numFmtId="0" fontId="3" fillId="19" borderId="8" xfId="0" applyFont="1" applyFill="1" applyBorder="1" applyAlignment="1">
      <alignment horizontal="center" vertical="center"/>
    </xf>
    <xf numFmtId="0" fontId="3" fillId="19" borderId="9" xfId="0" applyFont="1" applyFill="1" applyBorder="1" applyAlignment="1">
      <alignment horizontal="center" vertical="center"/>
    </xf>
    <xf numFmtId="0" fontId="33" fillId="0" borderId="0" xfId="0" applyFont="1" applyAlignment="1">
      <alignment horizontal="left" vertical="top" wrapText="1"/>
    </xf>
  </cellXfs>
  <cellStyles count="53">
    <cellStyle name="Accent1" xfId="4" builtinId="29"/>
    <cellStyle name="Bad 2" xfId="9" xr:uid="{48DE6014-26F9-4BA3-A0A0-4917FB7E34D7}"/>
    <cellStyle name="Calculation 2" xfId="10" xr:uid="{8F3D0360-925C-4710-974B-707B0F58BE93}"/>
    <cellStyle name="Check Cell 2" xfId="11" xr:uid="{510EA78C-DDC9-4FA2-B47F-64722EFF647E}"/>
    <cellStyle name="Comma" xfId="1" builtinId="3"/>
    <cellStyle name="Comma 2" xfId="6" xr:uid="{0229D74B-331A-4F69-A5FE-0452AE7ACC39}"/>
    <cellStyle name="Comma 2 2" xfId="12" xr:uid="{8DECBF38-C898-4921-B027-343F20BBE4D7}"/>
    <cellStyle name="Comma 2 3" xfId="43" xr:uid="{BB3DAF20-FC18-41A6-8EBC-A0DAA3A8D4D8}"/>
    <cellStyle name="Explanatory Text 2" xfId="13" xr:uid="{B3C7CC67-98EE-4D2F-BADA-D616E12DA79A}"/>
    <cellStyle name="Good 2" xfId="14" xr:uid="{27B05DF4-F490-493B-96F2-930CF757E6DF}"/>
    <cellStyle name="Heading 1 2" xfId="15" xr:uid="{DD3A45F9-F362-463E-981C-A242D6C9F4BA}"/>
    <cellStyle name="Heading 2 2" xfId="16" xr:uid="{BCC5B706-8E20-4F2A-BEFB-CD7E2CC6207C}"/>
    <cellStyle name="Heading 3 2" xfId="17" xr:uid="{6BC53DA9-B9A3-44AF-BDE2-D939AE531E2D}"/>
    <cellStyle name="Heading 4 2" xfId="18" xr:uid="{A91BDE40-E3B8-460F-BBED-9D748CC83409}"/>
    <cellStyle name="Hyperlink" xfId="5" builtinId="8"/>
    <cellStyle name="Hyperlink 2" xfId="19" xr:uid="{2D804C5C-D60A-4B4F-9BF9-40558A154281}"/>
    <cellStyle name="Input 2" xfId="20" xr:uid="{F59897F6-6982-4635-B93B-FC6EFF6963F0}"/>
    <cellStyle name="Linked Cell 2" xfId="21" xr:uid="{C65A5F45-AAA4-44DC-9628-715D0BE49C5F}"/>
    <cellStyle name="Neutral 2" xfId="22" xr:uid="{CE9F1EF0-FDBD-434D-BF77-4D5403F4DB94}"/>
    <cellStyle name="Normal" xfId="0" builtinId="0"/>
    <cellStyle name="Normal 10" xfId="2" xr:uid="{00000000-0005-0000-0000-000002000000}"/>
    <cellStyle name="Normal 2" xfId="7" xr:uid="{6A967F83-02FA-4E11-934B-003E0BE46696}"/>
    <cellStyle name="Normal 2 2" xfId="42" xr:uid="{D04E8E66-BA66-4123-AF6F-4C593C947D77}"/>
    <cellStyle name="Normal 2 3" xfId="45" xr:uid="{8AEEB901-DEFB-45C6-86B9-6BC73A34549B}"/>
    <cellStyle name="Normal 2 4" xfId="48" xr:uid="{C6EA5D4D-AB15-486C-BB42-D9B0BC1F9180}"/>
    <cellStyle name="Normal 2 5" xfId="50" xr:uid="{5B6E3469-A93A-422E-A4DE-11B97B20F040}"/>
    <cellStyle name="Normal 3" xfId="23" xr:uid="{1AD652F5-741A-4BEF-B735-DAE51F13EF39}"/>
    <cellStyle name="Normal 3 2" xfId="46" xr:uid="{66B6AF13-4B7B-4DC0-B574-AE46C7BF8A2D}"/>
    <cellStyle name="Normal 3 3" xfId="49" xr:uid="{E4F3D19D-E873-4119-BF1E-CA2AD52FFFBD}"/>
    <cellStyle name="Normal 4" xfId="8" xr:uid="{5AE70C0A-5FC6-46A6-ADE9-ACC88AA36743}"/>
    <cellStyle name="Normal 5 2" xfId="44" xr:uid="{BED2590C-F188-4172-8441-91D36500BC98}"/>
    <cellStyle name="Normal 6 2" xfId="51" xr:uid="{EAF9DFAE-72FE-498E-A5BA-A0EC35C92E26}"/>
    <cellStyle name="Note 2" xfId="24" xr:uid="{36D3206A-1E89-4A42-A28C-F49E1312FF63}"/>
    <cellStyle name="Output 2" xfId="25" xr:uid="{64B61667-5B67-451B-AA5A-F79CB8516894}"/>
    <cellStyle name="Percent" xfId="3" builtinId="5"/>
    <cellStyle name="Percent 2" xfId="27" xr:uid="{E92EB642-49A1-4A5D-866D-2F2BEAA99244}"/>
    <cellStyle name="Percent 2 2" xfId="47" xr:uid="{174184A0-89E0-4E2A-B1C3-3FF8F0BB3CA1}"/>
    <cellStyle name="Percent 3" xfId="26" xr:uid="{89F59B0F-399C-4825-8323-1A0B366B1827}"/>
    <cellStyle name="Percent 4" xfId="52" xr:uid="{44E58AFD-1F69-453D-B359-91E20549F222}"/>
    <cellStyle name="Smart Bold" xfId="28" xr:uid="{35949368-D2D9-4FD0-935D-72DC3815F6F0}"/>
    <cellStyle name="Smart Forecast" xfId="29" xr:uid="{DA1847E8-C87D-4E5E-BA5B-C103A281A188}"/>
    <cellStyle name="Smart General" xfId="30" xr:uid="{C0B8B36A-358E-4C70-8253-A2BB81521B6A}"/>
    <cellStyle name="Smart Highlight" xfId="31" xr:uid="{39804A6A-9501-44A9-8A2B-61FBC1EF7C9C}"/>
    <cellStyle name="Smart Percent" xfId="32" xr:uid="{2296B838-4D0B-4715-BE6E-0FFB4CFD77A6}"/>
    <cellStyle name="Smart Source" xfId="33" xr:uid="{4C539167-4F04-4120-99B9-BEE5390475D6}"/>
    <cellStyle name="Smart Subtitle 1" xfId="34" xr:uid="{5E6502DB-2715-489B-A345-1417A83B62B8}"/>
    <cellStyle name="Smart Subtitle 2" xfId="35" xr:uid="{52973591-BAAD-4677-94F6-41D001FD3E44}"/>
    <cellStyle name="Smart Subtitle 3" xfId="36" xr:uid="{1FCE42C9-A970-4BB7-9F47-DFD74F86985B}"/>
    <cellStyle name="Smart Subtotal" xfId="37" xr:uid="{7D6FC9B3-2F29-4CFE-8F4F-06A12BEC12E4}"/>
    <cellStyle name="Smart Title" xfId="38" xr:uid="{015B8C42-624F-48BB-AF42-8E33342CFB59}"/>
    <cellStyle name="Smart Total" xfId="39" xr:uid="{B57A5A91-9942-4AEA-BC7B-998D724CBF66}"/>
    <cellStyle name="Title 2" xfId="40" xr:uid="{E601D9A6-590D-452D-B94E-92F6B5F85844}"/>
    <cellStyle name="Total 2" xfId="41" xr:uid="{93F2EFB4-C20E-4EB2-86DA-2B6349B46C47}"/>
  </cellStyles>
  <dxfs count="0"/>
  <tableStyles count="0" defaultTableStyle="TableStyleMedium2" defaultPivotStyle="PivotStyleLight16"/>
  <colors>
    <mruColors>
      <color rgb="FF136D1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externalLink" Target="externalLinks/externalLink8.xml"/><Relationship Id="rId63"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8" Type="http://schemas.openxmlformats.org/officeDocument/2006/relationships/connections" Target="connections.xml"/><Relationship Id="rId5" Type="http://schemas.openxmlformats.org/officeDocument/2006/relationships/worksheet" Target="worksheets/sheet5.xml"/><Relationship Id="rId61" Type="http://schemas.openxmlformats.org/officeDocument/2006/relationships/sheetMetadata" Target="metadata.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externalLink" Target="externalLinks/externalLink9.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7.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[6]Sheet2!$D$2</c:f>
          <c:strCache>
            <c:ptCount val="1"/>
            <c:pt idx="0">
              <c:v>Financials</c:v>
            </c:pt>
          </c:strCache>
        </c:strRef>
      </c:tx>
      <c:layout>
        <c:manualLayout>
          <c:xMode val="edge"/>
          <c:yMode val="edge"/>
          <c:x val="3.1258597455615131E-3"/>
          <c:y val="4.365477935469461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70C0"/>
              </a:solidFill>
              <a:latin typeface="+mn-lt"/>
              <a:ea typeface="+mn-ea"/>
              <a:cs typeface="+mn-cs"/>
            </a:defRPr>
          </a:pPr>
          <a:endParaRPr lang="en-US"/>
        </a:p>
      </c:txPr>
    </c:title>
    <c:autoTitleDeleted val="0"/>
    <c:plotArea>
      <c:layout>
        <c:manualLayout>
          <c:layoutTarget val="inner"/>
          <c:xMode val="edge"/>
          <c:yMode val="edge"/>
          <c:x val="0.43091468781183556"/>
          <c:y val="2.9864409421087933E-2"/>
          <c:w val="0.56660394556919047"/>
          <c:h val="0.97013559057891197"/>
        </c:manualLayout>
      </c:layout>
      <c:barChart>
        <c:barDir val="bar"/>
        <c:grouping val="clustered"/>
        <c:varyColors val="0"/>
        <c:ser>
          <c:idx val="0"/>
          <c:order val="0"/>
          <c:tx>
            <c:strRef>
              <c:f>Sheet3!$D$3</c:f>
              <c:strCache>
                <c:ptCount val="1"/>
                <c:pt idx="0">
                  <c:v>Operating Revenue</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Sheet3!$E$3</c:f>
              <c:numCache>
                <c:formatCode>_(* #,##0_);_(* \(#,##0\);_(* "-"??_);_(@_)</c:formatCode>
                <c:ptCount val="1"/>
                <c:pt idx="0">
                  <c:v>6385.8926401717081</c:v>
                </c:pt>
              </c:numCache>
            </c:numRef>
          </c:val>
          <c:extLst>
            <c:ext xmlns:c16="http://schemas.microsoft.com/office/drawing/2014/chart" uri="{C3380CC4-5D6E-409C-BE32-E72D297353CC}">
              <c16:uniqueId val="{00000000-9D6D-431F-AB67-D881C16092BD}"/>
            </c:ext>
          </c:extLst>
        </c:ser>
        <c:ser>
          <c:idx val="1"/>
          <c:order val="1"/>
          <c:tx>
            <c:strRef>
              <c:f>Sheet3!$D$4</c:f>
              <c:strCache>
                <c:ptCount val="1"/>
                <c:pt idx="0">
                  <c:v>Total Operating Cost</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Sheet3!$E$4</c:f>
              <c:numCache>
                <c:formatCode>_(* #,##0_);_(* \(#,##0\);_(* "-"??_);_(@_)</c:formatCode>
                <c:ptCount val="1"/>
                <c:pt idx="0">
                  <c:v>3210.7161016281257</c:v>
                </c:pt>
              </c:numCache>
            </c:numRef>
          </c:val>
          <c:extLst>
            <c:ext xmlns:c16="http://schemas.microsoft.com/office/drawing/2014/chart" uri="{C3380CC4-5D6E-409C-BE32-E72D297353CC}">
              <c16:uniqueId val="{00000001-9D6D-431F-AB67-D881C16092BD}"/>
            </c:ext>
          </c:extLst>
        </c:ser>
        <c:ser>
          <c:idx val="2"/>
          <c:order val="2"/>
          <c:tx>
            <c:strRef>
              <c:f>Sheet3!$D$5</c:f>
              <c:strCache>
                <c:ptCount val="1"/>
                <c:pt idx="0">
                  <c:v>Gross Margin (EBITDA/PBITDA)</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Sheet3!$E$5</c:f>
              <c:numCache>
                <c:formatCode>_(* #,##0_);_(* \(#,##0\);_(* "-"??_);_(@_)</c:formatCode>
                <c:ptCount val="1"/>
                <c:pt idx="0">
                  <c:v>3175.1765385435824</c:v>
                </c:pt>
              </c:numCache>
            </c:numRef>
          </c:val>
          <c:extLst>
            <c:ext xmlns:c16="http://schemas.microsoft.com/office/drawing/2014/chart" uri="{C3380CC4-5D6E-409C-BE32-E72D297353CC}">
              <c16:uniqueId val="{00000002-9D6D-431F-AB67-D881C16092BD}"/>
            </c:ext>
          </c:extLst>
        </c:ser>
        <c:ser>
          <c:idx val="3"/>
          <c:order val="3"/>
          <c:tx>
            <c:strRef>
              <c:f>Sheet3!$D$6</c:f>
              <c:strCache>
                <c:ptCount val="1"/>
                <c:pt idx="0">
                  <c:v>Net Cash Flow</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Sheet3!$E$6</c:f>
              <c:numCache>
                <c:formatCode>_(* #,##0_);_(* \(#,##0\);_(* "-"??_);_(@_)</c:formatCode>
                <c:ptCount val="1"/>
                <c:pt idx="0">
                  <c:v>3175.1765385435824</c:v>
                </c:pt>
              </c:numCache>
            </c:numRef>
          </c:val>
          <c:extLst>
            <c:ext xmlns:c16="http://schemas.microsoft.com/office/drawing/2014/chart" uri="{C3380CC4-5D6E-409C-BE32-E72D297353CC}">
              <c16:uniqueId val="{00000003-9D6D-431F-AB67-D881C16092BD}"/>
            </c:ext>
          </c:extLst>
        </c:ser>
        <c:dLbls>
          <c:dLblPos val="outEnd"/>
          <c:showLegendKey val="0"/>
          <c:showVal val="1"/>
          <c:showCatName val="0"/>
          <c:showSerName val="0"/>
          <c:showPercent val="0"/>
          <c:showBubbleSize val="0"/>
        </c:dLbls>
        <c:gapWidth val="134"/>
        <c:overlap val="-11"/>
        <c:axId val="1245255455"/>
        <c:axId val="1245260447"/>
      </c:barChart>
      <c:catAx>
        <c:axId val="1245255455"/>
        <c:scaling>
          <c:orientation val="minMax"/>
        </c:scaling>
        <c:delete val="1"/>
        <c:axPos val="l"/>
        <c:numFmt formatCode="General" sourceLinked="1"/>
        <c:majorTickMark val="none"/>
        <c:minorTickMark val="none"/>
        <c:tickLblPos val="nextTo"/>
        <c:crossAx val="1245260447"/>
        <c:crosses val="autoZero"/>
        <c:auto val="1"/>
        <c:lblAlgn val="ctr"/>
        <c:lblOffset val="100"/>
        <c:noMultiLvlLbl val="0"/>
      </c:catAx>
      <c:valAx>
        <c:axId val="1245260447"/>
        <c:scaling>
          <c:orientation val="minMax"/>
        </c:scaling>
        <c:delete val="1"/>
        <c:axPos val="b"/>
        <c:numFmt formatCode="_(* #,##0_);_(* \(#,##0\);_(* &quot;-&quot;??_);_(@_)" sourceLinked="1"/>
        <c:majorTickMark val="none"/>
        <c:minorTickMark val="none"/>
        <c:tickLblPos val="nextTo"/>
        <c:crossAx val="1245255455"/>
        <c:crosses val="autoZero"/>
        <c:crossBetween val="between"/>
      </c:valAx>
      <c:spPr>
        <a:noFill/>
        <a:ln>
          <a:noFill/>
        </a:ln>
        <a:effectLst/>
      </c:spPr>
    </c:plotArea>
    <c:legend>
      <c:legendPos val="b"/>
      <c:legendEntry>
        <c:idx val="0"/>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2"/>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3"/>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ayout>
        <c:manualLayout>
          <c:xMode val="edge"/>
          <c:yMode val="edge"/>
          <c:x val="0"/>
          <c:y val="0.16893342877594847"/>
          <c:w val="0.43521290054570516"/>
          <c:h val="0.693433070866141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"Opex"</c:f>
          <c:strCache>
            <c:ptCount val="1"/>
            <c:pt idx="0">
              <c:v>Opex</c:v>
            </c:pt>
          </c:strCache>
        </c:strRef>
      </c:tx>
      <c:layout>
        <c:manualLayout>
          <c:xMode val="edge"/>
          <c:yMode val="edge"/>
          <c:x val="3.1258597455615131E-3"/>
          <c:y val="4.365477935469461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70C0"/>
              </a:solidFill>
              <a:latin typeface="+mn-lt"/>
              <a:ea typeface="+mn-ea"/>
              <a:cs typeface="+mn-cs"/>
            </a:defRPr>
          </a:pPr>
          <a:endParaRPr lang="en-US"/>
        </a:p>
      </c:txPr>
    </c:title>
    <c:autoTitleDeleted val="0"/>
    <c:plotArea>
      <c:layout>
        <c:manualLayout>
          <c:layoutTarget val="inner"/>
          <c:xMode val="edge"/>
          <c:yMode val="edge"/>
          <c:x val="0.40805276231217208"/>
          <c:y val="6.4798908870015715E-2"/>
          <c:w val="0.58946600194886845"/>
          <c:h val="0.93520109112998429"/>
        </c:manualLayout>
      </c:layout>
      <c:barChart>
        <c:barDir val="bar"/>
        <c:grouping val="clustered"/>
        <c:varyColors val="0"/>
        <c:ser>
          <c:idx val="0"/>
          <c:order val="0"/>
          <c:tx>
            <c:strRef>
              <c:f>Sheet3!$A$11</c:f>
              <c:strCache>
                <c:ptCount val="1"/>
                <c:pt idx="0">
                  <c:v>MANUFACTURING COST</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Sheet3!$B$11</c:f>
              <c:numCache>
                <c:formatCode>_(* #,##0_);_(* \(#,##0\);_(* "-"??_);_(@_)</c:formatCode>
                <c:ptCount val="1"/>
                <c:pt idx="0">
                  <c:v>3038.9174875020026</c:v>
                </c:pt>
              </c:numCache>
            </c:numRef>
          </c:val>
          <c:extLst>
            <c:ext xmlns:c16="http://schemas.microsoft.com/office/drawing/2014/chart" uri="{C3380CC4-5D6E-409C-BE32-E72D297353CC}">
              <c16:uniqueId val="{00000000-D954-4588-86EF-4562F2A44991}"/>
            </c:ext>
          </c:extLst>
        </c:ser>
        <c:ser>
          <c:idx val="1"/>
          <c:order val="1"/>
          <c:tx>
            <c:strRef>
              <c:f>Sheet3!$A$12</c:f>
              <c:strCache>
                <c:ptCount val="1"/>
                <c:pt idx="0">
                  <c:v>Raw materials </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Sheet3!$B$12</c:f>
              <c:numCache>
                <c:formatCode>_(* #,##0_);_(* \(#,##0\);_(* "-"??_);_(@_)</c:formatCode>
                <c:ptCount val="1"/>
                <c:pt idx="0">
                  <c:v>2352.3129350334357</c:v>
                </c:pt>
              </c:numCache>
            </c:numRef>
          </c:val>
          <c:extLst>
            <c:ext xmlns:c16="http://schemas.microsoft.com/office/drawing/2014/chart" uri="{C3380CC4-5D6E-409C-BE32-E72D297353CC}">
              <c16:uniqueId val="{00000001-D954-4588-86EF-4562F2A44991}"/>
            </c:ext>
          </c:extLst>
        </c:ser>
        <c:ser>
          <c:idx val="2"/>
          <c:order val="2"/>
          <c:tx>
            <c:strRef>
              <c:f>Sheet3!$A$13</c:f>
              <c:strCache>
                <c:ptCount val="1"/>
                <c:pt idx="0">
                  <c:v>Catalyst &amp; Chemicals</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Sheet3!$B$13</c:f>
              <c:numCache>
                <c:formatCode>_(* #,##0_);_(* \(#,##0\);_(* "-"??_);_(@_)</c:formatCode>
                <c:ptCount val="1"/>
                <c:pt idx="0">
                  <c:v>149.50201821018209</c:v>
                </c:pt>
              </c:numCache>
            </c:numRef>
          </c:val>
          <c:extLst>
            <c:ext xmlns:c16="http://schemas.microsoft.com/office/drawing/2014/chart" uri="{C3380CC4-5D6E-409C-BE32-E72D297353CC}">
              <c16:uniqueId val="{00000002-D954-4588-86EF-4562F2A44991}"/>
            </c:ext>
          </c:extLst>
        </c:ser>
        <c:ser>
          <c:idx val="3"/>
          <c:order val="3"/>
          <c:tx>
            <c:strRef>
              <c:f>Sheet3!$A$14</c:f>
              <c:strCache>
                <c:ptCount val="1"/>
                <c:pt idx="0">
                  <c:v>Labour</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Sheet3!$B$14</c:f>
              <c:numCache>
                <c:formatCode>_(* #,##0_);_(* \(#,##0\);_(* "-"??_);_(@_)</c:formatCode>
                <c:ptCount val="1"/>
                <c:pt idx="0">
                  <c:v>53.956955249999993</c:v>
                </c:pt>
              </c:numCache>
            </c:numRef>
          </c:val>
          <c:extLst>
            <c:ext xmlns:c16="http://schemas.microsoft.com/office/drawing/2014/chart" uri="{C3380CC4-5D6E-409C-BE32-E72D297353CC}">
              <c16:uniqueId val="{00000003-D954-4588-86EF-4562F2A44991}"/>
            </c:ext>
          </c:extLst>
        </c:ser>
        <c:ser>
          <c:idx val="4"/>
          <c:order val="4"/>
          <c:tx>
            <c:strRef>
              <c:f>Sheet3!$A$15</c:f>
              <c:strCache>
                <c:ptCount val="1"/>
                <c:pt idx="0">
                  <c:v>Variable Overheads</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Sheet3!$B$15</c:f>
              <c:numCache>
                <c:formatCode>_(* #,##0_);_(* \(#,##0\);_(* "-"??_);_(@_)</c:formatCode>
                <c:ptCount val="1"/>
                <c:pt idx="0">
                  <c:v>376.36641624999993</c:v>
                </c:pt>
              </c:numCache>
            </c:numRef>
          </c:val>
          <c:extLst>
            <c:ext xmlns:c16="http://schemas.microsoft.com/office/drawing/2014/chart" uri="{C3380CC4-5D6E-409C-BE32-E72D297353CC}">
              <c16:uniqueId val="{00000004-D954-4588-86EF-4562F2A44991}"/>
            </c:ext>
          </c:extLst>
        </c:ser>
        <c:ser>
          <c:idx val="5"/>
          <c:order val="5"/>
          <c:tx>
            <c:strRef>
              <c:f>Sheet3!$A$16</c:f>
              <c:strCache>
                <c:ptCount val="1"/>
                <c:pt idx="0">
                  <c:v>Fixed Overheads</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Sheet3!$B$16</c:f>
              <c:numCache>
                <c:formatCode>_(* #,##0_);_(* \(#,##0\);_(* "-"??_);_(@_)</c:formatCode>
                <c:ptCount val="1"/>
                <c:pt idx="0">
                  <c:v>106.7791627583848</c:v>
                </c:pt>
              </c:numCache>
            </c:numRef>
          </c:val>
          <c:extLst>
            <c:ext xmlns:c16="http://schemas.microsoft.com/office/drawing/2014/chart" uri="{C3380CC4-5D6E-409C-BE32-E72D297353CC}">
              <c16:uniqueId val="{00000005-D954-4588-86EF-4562F2A44991}"/>
            </c:ext>
          </c:extLst>
        </c:ser>
        <c:ser>
          <c:idx val="6"/>
          <c:order val="6"/>
          <c:tx>
            <c:strRef>
              <c:f>Sheet3!$A$17</c:f>
              <c:strCache>
                <c:ptCount val="1"/>
                <c:pt idx="0">
                  <c:v>Selling Overheads</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Sheet3!$B$17</c:f>
              <c:numCache>
                <c:formatCode>_(* #,##0_);_(* \(#,##0\);_(* "-"??_);_(@_)</c:formatCode>
                <c:ptCount val="1"/>
                <c:pt idx="0">
                  <c:v>171.79861412612325</c:v>
                </c:pt>
              </c:numCache>
            </c:numRef>
          </c:val>
          <c:extLst>
            <c:ext xmlns:c16="http://schemas.microsoft.com/office/drawing/2014/chart" uri="{C3380CC4-5D6E-409C-BE32-E72D297353CC}">
              <c16:uniqueId val="{00000006-D954-4588-86EF-4562F2A44991}"/>
            </c:ext>
          </c:extLst>
        </c:ser>
        <c:ser>
          <c:idx val="7"/>
          <c:order val="7"/>
          <c:tx>
            <c:strRef>
              <c:f>Sheet3!$A$18</c:f>
              <c:strCache>
                <c:ptCount val="1"/>
                <c:pt idx="0">
                  <c:v>Total Operating Cost</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Sheet3!$B$18</c:f>
              <c:numCache>
                <c:formatCode>_(* #,##0_);_(* \(#,##0\);_(* "-"??_);_(@_)</c:formatCode>
                <c:ptCount val="1"/>
                <c:pt idx="0">
                  <c:v>3210.7161016281257</c:v>
                </c:pt>
              </c:numCache>
            </c:numRef>
          </c:val>
          <c:extLst>
            <c:ext xmlns:c16="http://schemas.microsoft.com/office/drawing/2014/chart" uri="{C3380CC4-5D6E-409C-BE32-E72D297353CC}">
              <c16:uniqueId val="{00000007-D954-4588-86EF-4562F2A44991}"/>
            </c:ext>
          </c:extLst>
        </c:ser>
        <c:dLbls>
          <c:dLblPos val="outEnd"/>
          <c:showLegendKey val="0"/>
          <c:showVal val="1"/>
          <c:showCatName val="0"/>
          <c:showSerName val="0"/>
          <c:showPercent val="0"/>
          <c:showBubbleSize val="0"/>
        </c:dLbls>
        <c:gapWidth val="134"/>
        <c:overlap val="-11"/>
        <c:axId val="1245255455"/>
        <c:axId val="1245260447"/>
      </c:barChart>
      <c:catAx>
        <c:axId val="1245255455"/>
        <c:scaling>
          <c:orientation val="minMax"/>
        </c:scaling>
        <c:delete val="1"/>
        <c:axPos val="l"/>
        <c:numFmt formatCode="General" sourceLinked="1"/>
        <c:majorTickMark val="none"/>
        <c:minorTickMark val="none"/>
        <c:tickLblPos val="nextTo"/>
        <c:crossAx val="1245260447"/>
        <c:crosses val="autoZero"/>
        <c:auto val="1"/>
        <c:lblAlgn val="ctr"/>
        <c:lblOffset val="100"/>
        <c:noMultiLvlLbl val="0"/>
      </c:catAx>
      <c:valAx>
        <c:axId val="1245260447"/>
        <c:scaling>
          <c:orientation val="minMax"/>
        </c:scaling>
        <c:delete val="1"/>
        <c:axPos val="b"/>
        <c:numFmt formatCode="_(* #,##0_);_(* \(#,##0\);_(* &quot;-&quot;??_);_(@_)" sourceLinked="1"/>
        <c:majorTickMark val="none"/>
        <c:minorTickMark val="none"/>
        <c:tickLblPos val="nextTo"/>
        <c:crossAx val="1245255455"/>
        <c:crosses val="autoZero"/>
        <c:crossBetween val="between"/>
      </c:valAx>
      <c:spPr>
        <a:noFill/>
        <a:ln>
          <a:noFill/>
        </a:ln>
        <a:effectLst/>
      </c:spPr>
    </c:plotArea>
    <c:legend>
      <c:legendPos val="b"/>
      <c:layout>
        <c:manualLayout>
          <c:xMode val="edge"/>
          <c:yMode val="edge"/>
          <c:x val="1.2135983002124731E-3"/>
          <c:y val="0.11581702942154064"/>
          <c:w val="0.40002974068548242"/>
          <c:h val="0.8418769951949171"/>
        </c:manualLayout>
      </c:layout>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600" b="1">
                <a:solidFill>
                  <a:schemeClr val="accent5">
                    <a:lumMod val="75000"/>
                  </a:schemeClr>
                </a:solidFill>
              </a:rPr>
              <a:t>Capex</a:t>
            </a:r>
          </a:p>
        </c:rich>
      </c:tx>
      <c:layout>
        <c:manualLayout>
          <c:xMode val="edge"/>
          <c:yMode val="edge"/>
          <c:x val="1.2940756822032025E-2"/>
          <c:y val="4.1666508189226625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2690113735783026"/>
          <c:y val="7.291848935549722E-3"/>
          <c:w val="0.59341994750656168"/>
          <c:h val="0.98903324584426944"/>
        </c:manualLayout>
      </c:layout>
      <c:pieChart>
        <c:varyColors val="1"/>
        <c:ser>
          <c:idx val="0"/>
          <c:order val="0"/>
          <c:tx>
            <c:strRef>
              <c:f>Sheet3!$B$2</c:f>
              <c:strCache>
                <c:ptCount val="1"/>
                <c:pt idx="0">
                  <c:v>INR Crore</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3EE9-4289-907E-8F101E5CAA38}"/>
              </c:ext>
            </c:extLst>
          </c:dPt>
          <c:dPt>
            <c:idx val="1"/>
            <c:bubble3D val="0"/>
            <c:spPr>
              <a:solidFill>
                <a:schemeClr val="accent2"/>
              </a:solidFill>
              <a:ln w="19050">
                <a:noFill/>
              </a:ln>
              <a:effectLst/>
            </c:spPr>
            <c:extLst>
              <c:ext xmlns:c16="http://schemas.microsoft.com/office/drawing/2014/chart" uri="{C3380CC4-5D6E-409C-BE32-E72D297353CC}">
                <c16:uniqueId val="{00000003-3EE9-4289-907E-8F101E5CAA38}"/>
              </c:ext>
            </c:extLst>
          </c:dPt>
          <c:dPt>
            <c:idx val="2"/>
            <c:bubble3D val="0"/>
            <c:spPr>
              <a:solidFill>
                <a:schemeClr val="accent3"/>
              </a:solidFill>
              <a:ln w="19050">
                <a:noFill/>
              </a:ln>
              <a:effectLst/>
            </c:spPr>
            <c:extLst>
              <c:ext xmlns:c16="http://schemas.microsoft.com/office/drawing/2014/chart" uri="{C3380CC4-5D6E-409C-BE32-E72D297353CC}">
                <c16:uniqueId val="{00000005-3EE9-4289-907E-8F101E5CAA38}"/>
              </c:ext>
            </c:extLst>
          </c:dPt>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Sheet3!$A$3:$A$5</c:f>
              <c:strCache>
                <c:ptCount val="3"/>
                <c:pt idx="0">
                  <c:v>Capex PVC Option 1</c:v>
                </c:pt>
                <c:pt idx="1">
                  <c:v>Capex Phenol Option 1</c:v>
                </c:pt>
                <c:pt idx="2">
                  <c:v>Propane Furnace Adition</c:v>
                </c:pt>
              </c:strCache>
            </c:strRef>
          </c:cat>
          <c:val>
            <c:numRef>
              <c:f>Sheet3!$B$3:$B$5</c:f>
              <c:numCache>
                <c:formatCode>_(* #,##0_);_(* \(#,##0\);_(* "-"??_);_(@_)</c:formatCode>
                <c:ptCount val="3"/>
                <c:pt idx="0">
                  <c:v>4159.4497678079997</c:v>
                </c:pt>
                <c:pt idx="1">
                  <c:v>1768.675</c:v>
                </c:pt>
                <c:pt idx="2">
                  <c:v>2370</c:v>
                </c:pt>
              </c:numCache>
            </c:numRef>
          </c:val>
          <c:extLst>
            <c:ext xmlns:c16="http://schemas.microsoft.com/office/drawing/2014/chart" uri="{C3380CC4-5D6E-409C-BE32-E72D297353CC}">
              <c16:uniqueId val="{0000000A-3EE9-4289-907E-8F101E5CAA3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5140781338662668"/>
          <c:y val="4.7459536307961493E-2"/>
          <c:w val="0.33942615579102559"/>
          <c:h val="0.94328120443277919"/>
        </c:manualLayout>
      </c:layout>
      <c:overlay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67800049572953"/>
          <c:y val="0.19163348954361817"/>
          <c:w val="0.79851026322312235"/>
          <c:h val="0.62847114452452935"/>
        </c:manualLayout>
      </c:layout>
      <c:barChart>
        <c:barDir val="col"/>
        <c:grouping val="clustered"/>
        <c:varyColors val="0"/>
        <c:ser>
          <c:idx val="0"/>
          <c:order val="0"/>
          <c:tx>
            <c:strRef>
              <c:f>Sheet3!$B$20</c:f>
              <c:strCache>
                <c:ptCount val="1"/>
                <c:pt idx="0">
                  <c:v> INR Crore </c:v>
                </c:pt>
              </c:strCache>
            </c:strRef>
          </c:tx>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a:noFill/>
            </a:ln>
            <a:scene3d>
              <a:camera prst="orthographicFront"/>
              <a:lightRig rig="threePt" dir="t"/>
            </a:scene3d>
            <a:sp3d>
              <a:bevelT w="190500" h="38100"/>
            </a:sp3d>
          </c:spPr>
          <c:invertIfNegative val="0"/>
          <c:dPt>
            <c:idx val="0"/>
            <c:invertIfNegative val="0"/>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scene3d>
                <a:camera prst="orthographicFront"/>
                <a:lightRig rig="threePt" dir="t"/>
              </a:scene3d>
              <a:sp3d>
                <a:bevelT w="190500" h="38100"/>
              </a:sp3d>
            </c:spPr>
            <c:extLst>
              <c:ext xmlns:c16="http://schemas.microsoft.com/office/drawing/2014/chart" uri="{C3380CC4-5D6E-409C-BE32-E72D297353CC}">
                <c16:uniqueId val="{00000001-F18D-4C53-9258-753C0B905237}"/>
              </c:ext>
            </c:extLst>
          </c:dPt>
          <c:dPt>
            <c:idx val="1"/>
            <c:invertIfNegative val="0"/>
            <c:bubble3D val="0"/>
            <c:spPr>
              <a:gradFill flip="none" rotWithShape="1">
                <a:gsLst>
                  <a:gs pos="0">
                    <a:schemeClr val="accent4">
                      <a:lumMod val="0"/>
                      <a:lumOff val="100000"/>
                    </a:schemeClr>
                  </a:gs>
                  <a:gs pos="20000">
                    <a:schemeClr val="accent4">
                      <a:lumMod val="0"/>
                      <a:lumOff val="100000"/>
                    </a:schemeClr>
                  </a:gs>
                  <a:gs pos="66000">
                    <a:schemeClr val="accent4">
                      <a:lumMod val="100000"/>
                    </a:schemeClr>
                  </a:gs>
                </a:gsLst>
                <a:path path="circle">
                  <a:fillToRect l="50000" t="-80000" r="50000" b="180000"/>
                </a:path>
                <a:tileRect/>
              </a:gradFill>
              <a:ln w="19050">
                <a:noFill/>
              </a:ln>
              <a:effectLst/>
              <a:scene3d>
                <a:camera prst="orthographicFront"/>
                <a:lightRig rig="threePt" dir="t"/>
              </a:scene3d>
              <a:sp3d>
                <a:bevelT w="190500" h="38100"/>
              </a:sp3d>
            </c:spPr>
            <c:extLst>
              <c:ext xmlns:c16="http://schemas.microsoft.com/office/drawing/2014/chart" uri="{C3380CC4-5D6E-409C-BE32-E72D297353CC}">
                <c16:uniqueId val="{00000003-F18D-4C53-9258-753C0B905237}"/>
              </c:ext>
            </c:extLst>
          </c:dPt>
          <c:dLbls>
            <c:dLbl>
              <c:idx val="0"/>
              <c:spPr>
                <a:noFill/>
                <a:ln>
                  <a:noFill/>
                </a:ln>
                <a:effectLst/>
              </c:spPr>
              <c:txPr>
                <a:bodyPr rot="0" spcFirstLastPara="1" vertOverflow="ellipsis" vert="horz" wrap="square" lIns="38100" tIns="19050" rIns="38100" bIns="19050" anchor="ctr" anchorCtr="0">
                  <a:no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8061712948075717"/>
                      <c:h val="7.7111656124951591E-2"/>
                    </c:manualLayout>
                  </c15:layout>
                </c:ext>
                <c:ext xmlns:c16="http://schemas.microsoft.com/office/drawing/2014/chart" uri="{C3380CC4-5D6E-409C-BE32-E72D297353CC}">
                  <c16:uniqueId val="{00000001-F18D-4C53-9258-753C0B905237}"/>
                </c:ext>
              </c:extLst>
            </c:dLbl>
            <c:dLbl>
              <c:idx val="1"/>
              <c:spPr>
                <a:noFill/>
                <a:ln>
                  <a:noFill/>
                </a:ln>
                <a:effectLst/>
              </c:spPr>
              <c:txPr>
                <a:bodyPr rot="0" spcFirstLastPara="1" vertOverflow="ellipsis" vert="horz" wrap="square" lIns="38100" tIns="19050" rIns="38100" bIns="19050" anchor="ctr" anchorCtr="0">
                  <a:no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984985529598411"/>
                      <c:h val="8.5845875822899168E-2"/>
                    </c:manualLayout>
                  </c15:layout>
                </c:ext>
                <c:ext xmlns:c16="http://schemas.microsoft.com/office/drawing/2014/chart" uri="{C3380CC4-5D6E-409C-BE32-E72D297353CC}">
                  <c16:uniqueId val="{00000003-F18D-4C53-9258-753C0B905237}"/>
                </c:ext>
              </c:extLst>
            </c:dLbl>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Sheet3!$A$21:$A$22</c:f>
              <c:strCache>
                <c:ptCount val="2"/>
                <c:pt idx="0">
                  <c:v>Total Variable Cost</c:v>
                </c:pt>
                <c:pt idx="1">
                  <c:v>Total Fixed Cost</c:v>
                </c:pt>
              </c:strCache>
            </c:strRef>
          </c:cat>
          <c:val>
            <c:numRef>
              <c:f>Sheet3!$B$21:$B$22</c:f>
              <c:numCache>
                <c:formatCode>_(* #,##0_);_(* \(#,##0\);_(* "-"??_);_(@_)</c:formatCode>
                <c:ptCount val="2"/>
                <c:pt idx="0">
                  <c:v>3049.9799836197408</c:v>
                </c:pt>
                <c:pt idx="1">
                  <c:v>160.73611800838478</c:v>
                </c:pt>
              </c:numCache>
            </c:numRef>
          </c:val>
          <c:extLst>
            <c:ext xmlns:c16="http://schemas.microsoft.com/office/drawing/2014/chart" uri="{C3380CC4-5D6E-409C-BE32-E72D297353CC}">
              <c16:uniqueId val="{00000004-F18D-4C53-9258-753C0B905237}"/>
            </c:ext>
          </c:extLst>
        </c:ser>
        <c:dLbls>
          <c:showLegendKey val="0"/>
          <c:showVal val="0"/>
          <c:showCatName val="0"/>
          <c:showSerName val="0"/>
          <c:showPercent val="0"/>
          <c:showBubbleSize val="0"/>
        </c:dLbls>
        <c:gapWidth val="100"/>
        <c:axId val="1569215200"/>
        <c:axId val="1569216864"/>
      </c:barChart>
      <c:catAx>
        <c:axId val="1569215200"/>
        <c:scaling>
          <c:orientation val="minMax"/>
        </c:scaling>
        <c:delete val="0"/>
        <c:axPos val="b"/>
        <c:numFmt formatCode="General" sourceLinked="1"/>
        <c:majorTickMark val="out"/>
        <c:minorTickMark val="none"/>
        <c:tickLblPos val="nextTo"/>
        <c:txPr>
          <a:bodyPr/>
          <a:lstStyle/>
          <a:p>
            <a:pPr algn="ctr">
              <a:defRPr lang="en-US" sz="1100" b="1" i="0" u="none" strike="noStrike" kern="1200" baseline="0">
                <a:solidFill>
                  <a:sysClr val="windowText" lastClr="000000"/>
                </a:solidFill>
                <a:latin typeface="+mn-lt"/>
                <a:ea typeface="+mn-ea"/>
                <a:cs typeface="+mn-cs"/>
              </a:defRPr>
            </a:pPr>
            <a:endParaRPr lang="en-US"/>
          </a:p>
        </c:txPr>
        <c:crossAx val="1569216864"/>
        <c:crosses val="autoZero"/>
        <c:auto val="1"/>
        <c:lblAlgn val="ctr"/>
        <c:lblOffset val="100"/>
        <c:noMultiLvlLbl val="0"/>
      </c:catAx>
      <c:valAx>
        <c:axId val="1569216864"/>
        <c:scaling>
          <c:orientation val="minMax"/>
        </c:scaling>
        <c:delete val="1"/>
        <c:axPos val="l"/>
        <c:numFmt formatCode="_(* #,##0_);_(* \(#,##0\);_(* &quot;-&quot;??_);_(@_)" sourceLinked="1"/>
        <c:majorTickMark val="out"/>
        <c:minorTickMark val="none"/>
        <c:tickLblPos val="nextTo"/>
        <c:crossAx val="1569215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27657</xdr:colOff>
      <xdr:row>21</xdr:row>
      <xdr:rowOff>123309</xdr:rowOff>
    </xdr:to>
    <xdr:pic>
      <xdr:nvPicPr>
        <xdr:cNvPr id="2" name="Picture 1">
          <a:extLst>
            <a:ext uri="{FF2B5EF4-FFF2-40B4-BE49-F238E27FC236}">
              <a16:creationId xmlns:a16="http://schemas.microsoft.com/office/drawing/2014/main" id="{6C4B1C18-3385-C419-3362-15AC917745B8}"/>
            </a:ext>
          </a:extLst>
        </xdr:cNvPr>
        <xdr:cNvPicPr>
          <a:picLocks noChangeAspect="1"/>
        </xdr:cNvPicPr>
      </xdr:nvPicPr>
      <xdr:blipFill>
        <a:blip xmlns:r="http://schemas.openxmlformats.org/officeDocument/2006/relationships" r:embed="rId1"/>
        <a:stretch>
          <a:fillRect/>
        </a:stretch>
      </xdr:blipFill>
      <xdr:spPr>
        <a:xfrm>
          <a:off x="0" y="0"/>
          <a:ext cx="7342857" cy="4123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27735</xdr:rowOff>
    </xdr:from>
    <xdr:to>
      <xdr:col>22</xdr:col>
      <xdr:colOff>104778</xdr:colOff>
      <xdr:row>30</xdr:row>
      <xdr:rowOff>10583</xdr:rowOff>
    </xdr:to>
    <xdr:grpSp>
      <xdr:nvGrpSpPr>
        <xdr:cNvPr id="2" name="Group 1">
          <a:extLst>
            <a:ext uri="{FF2B5EF4-FFF2-40B4-BE49-F238E27FC236}">
              <a16:creationId xmlns:a16="http://schemas.microsoft.com/office/drawing/2014/main" id="{61513BAE-D758-ED34-26B8-69652D5573BD}"/>
            </a:ext>
          </a:extLst>
        </xdr:cNvPr>
        <xdr:cNvGrpSpPr/>
      </xdr:nvGrpSpPr>
      <xdr:grpSpPr>
        <a:xfrm>
          <a:off x="0" y="27735"/>
          <a:ext cx="13820778" cy="5655515"/>
          <a:chOff x="0" y="27735"/>
          <a:chExt cx="13820778" cy="5655515"/>
        </a:xfrm>
      </xdr:grpSpPr>
      <xdr:grpSp>
        <xdr:nvGrpSpPr>
          <xdr:cNvPr id="24" name="Group 23">
            <a:extLst>
              <a:ext uri="{FF2B5EF4-FFF2-40B4-BE49-F238E27FC236}">
                <a16:creationId xmlns:a16="http://schemas.microsoft.com/office/drawing/2014/main" id="{8AF91599-427C-C756-D71E-4C490F6991D9}"/>
              </a:ext>
            </a:extLst>
          </xdr:cNvPr>
          <xdr:cNvGrpSpPr/>
        </xdr:nvGrpSpPr>
        <xdr:grpSpPr>
          <a:xfrm>
            <a:off x="4497917" y="1449915"/>
            <a:ext cx="4995333" cy="1693335"/>
            <a:chOff x="3481916" y="1799165"/>
            <a:chExt cx="5005917" cy="1873252"/>
          </a:xfrm>
        </xdr:grpSpPr>
        <xdr:sp macro="" textlink="">
          <xdr:nvSpPr>
            <xdr:cNvPr id="25" name="Rectangle 24">
              <a:extLst>
                <a:ext uri="{FF2B5EF4-FFF2-40B4-BE49-F238E27FC236}">
                  <a16:creationId xmlns:a16="http://schemas.microsoft.com/office/drawing/2014/main" id="{B300CE63-0C74-4AB0-9890-C30F03960CDD}"/>
                </a:ext>
              </a:extLst>
            </xdr:cNvPr>
            <xdr:cNvSpPr/>
          </xdr:nvSpPr>
          <xdr:spPr>
            <a:xfrm>
              <a:off x="3481916" y="1799165"/>
              <a:ext cx="5005917" cy="1873252"/>
            </a:xfrm>
            <a:prstGeom prst="rect">
              <a:avLst/>
            </a:prstGeom>
            <a:gradFill>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26" name="Chart 25">
              <a:extLst>
                <a:ext uri="{FF2B5EF4-FFF2-40B4-BE49-F238E27FC236}">
                  <a16:creationId xmlns:a16="http://schemas.microsoft.com/office/drawing/2014/main" id="{C0622762-B0C1-4EA9-9EA4-9B17D4C0A16B}"/>
                </a:ext>
              </a:extLst>
            </xdr:cNvPr>
            <xdr:cNvGraphicFramePr>
              <a:graphicFrameLocks/>
            </xdr:cNvGraphicFramePr>
          </xdr:nvGraphicFramePr>
          <xdr:xfrm>
            <a:off x="3492478" y="1844875"/>
            <a:ext cx="4921250" cy="1777997"/>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31" name="Group 30">
            <a:extLst>
              <a:ext uri="{FF2B5EF4-FFF2-40B4-BE49-F238E27FC236}">
                <a16:creationId xmlns:a16="http://schemas.microsoft.com/office/drawing/2014/main" id="{E279C1A8-4A7B-119E-94C0-79EF459F4CFA}"/>
              </a:ext>
            </a:extLst>
          </xdr:cNvPr>
          <xdr:cNvGrpSpPr/>
        </xdr:nvGrpSpPr>
        <xdr:grpSpPr>
          <a:xfrm>
            <a:off x="4497917" y="3587752"/>
            <a:ext cx="4995333" cy="2095498"/>
            <a:chOff x="9334499" y="3069167"/>
            <a:chExt cx="3869269" cy="2224609"/>
          </a:xfrm>
        </xdr:grpSpPr>
        <xdr:sp macro="" textlink="">
          <xdr:nvSpPr>
            <xdr:cNvPr id="29" name="Rectangle 28">
              <a:extLst>
                <a:ext uri="{FF2B5EF4-FFF2-40B4-BE49-F238E27FC236}">
                  <a16:creationId xmlns:a16="http://schemas.microsoft.com/office/drawing/2014/main" id="{E5936171-761D-48B2-A8E1-E56358080019}"/>
                </a:ext>
              </a:extLst>
            </xdr:cNvPr>
            <xdr:cNvSpPr/>
          </xdr:nvSpPr>
          <xdr:spPr>
            <a:xfrm>
              <a:off x="9334499" y="3069167"/>
              <a:ext cx="3869269" cy="2224609"/>
            </a:xfrm>
            <a:prstGeom prst="rect">
              <a:avLst/>
            </a:prstGeom>
            <a:gradFill flip="none" rotWithShape="1">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path path="circle">
                <a:fillToRect r="100000" b="100000"/>
              </a:path>
              <a:tileRect l="-100000" t="-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30" name="Chart 29">
              <a:extLst>
                <a:ext uri="{FF2B5EF4-FFF2-40B4-BE49-F238E27FC236}">
                  <a16:creationId xmlns:a16="http://schemas.microsoft.com/office/drawing/2014/main" id="{E100EC99-8B65-4E06-9312-DD5094CFB849}"/>
                </a:ext>
              </a:extLst>
            </xdr:cNvPr>
            <xdr:cNvGraphicFramePr>
              <a:graphicFrameLocks/>
            </xdr:cNvGraphicFramePr>
          </xdr:nvGraphicFramePr>
          <xdr:xfrm>
            <a:off x="9343273" y="3079749"/>
            <a:ext cx="3830927" cy="2181225"/>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34" name="Group 33">
            <a:extLst>
              <a:ext uri="{FF2B5EF4-FFF2-40B4-BE49-F238E27FC236}">
                <a16:creationId xmlns:a16="http://schemas.microsoft.com/office/drawing/2014/main" id="{27E64A72-F9B4-4923-B219-2AE76F1FE4AA}"/>
              </a:ext>
            </a:extLst>
          </xdr:cNvPr>
          <xdr:cNvGrpSpPr/>
        </xdr:nvGrpSpPr>
        <xdr:grpSpPr>
          <a:xfrm>
            <a:off x="74081" y="27735"/>
            <a:ext cx="13746697" cy="881991"/>
            <a:chOff x="296333" y="197063"/>
            <a:chExt cx="13779500" cy="881991"/>
          </a:xfrm>
        </xdr:grpSpPr>
        <xdr:grpSp>
          <xdr:nvGrpSpPr>
            <xdr:cNvPr id="37" name="Group 36">
              <a:extLst>
                <a:ext uri="{FF2B5EF4-FFF2-40B4-BE49-F238E27FC236}">
                  <a16:creationId xmlns:a16="http://schemas.microsoft.com/office/drawing/2014/main" id="{CD2C9E2E-325C-6DC9-EB61-48DA6AB27841}"/>
                </a:ext>
              </a:extLst>
            </xdr:cNvPr>
            <xdr:cNvGrpSpPr/>
          </xdr:nvGrpSpPr>
          <xdr:grpSpPr>
            <a:xfrm>
              <a:off x="296333" y="197063"/>
              <a:ext cx="13779500" cy="881991"/>
              <a:chOff x="-192559" y="3976043"/>
              <a:chExt cx="12052239" cy="574115"/>
            </a:xfrm>
          </xdr:grpSpPr>
          <xdr:grpSp>
            <xdr:nvGrpSpPr>
              <xdr:cNvPr id="41" name="Group 40">
                <a:extLst>
                  <a:ext uri="{FF2B5EF4-FFF2-40B4-BE49-F238E27FC236}">
                    <a16:creationId xmlns:a16="http://schemas.microsoft.com/office/drawing/2014/main" id="{D6357AF8-31FC-71AC-A729-66FDBA0471AC}"/>
                  </a:ext>
                </a:extLst>
              </xdr:cNvPr>
              <xdr:cNvGrpSpPr/>
            </xdr:nvGrpSpPr>
            <xdr:grpSpPr>
              <a:xfrm>
                <a:off x="-192559" y="3977216"/>
                <a:ext cx="4679857" cy="571500"/>
                <a:chOff x="2802524" y="4000500"/>
                <a:chExt cx="4679857" cy="571500"/>
              </a:xfrm>
            </xdr:grpSpPr>
            <xdr:sp macro="" textlink="Sheet3!G3">
              <xdr:nvSpPr>
                <xdr:cNvPr id="54" name="Rectangle: Rounded Corners 53">
                  <a:extLst>
                    <a:ext uri="{FF2B5EF4-FFF2-40B4-BE49-F238E27FC236}">
                      <a16:creationId xmlns:a16="http://schemas.microsoft.com/office/drawing/2014/main" id="{0312130D-EF45-F4D6-FD68-A4193E72AC5A}"/>
                    </a:ext>
                  </a:extLst>
                </xdr:cNvPr>
                <xdr:cNvSpPr/>
              </xdr:nvSpPr>
              <xdr:spPr>
                <a:xfrm>
                  <a:off x="2802524" y="4000500"/>
                  <a:ext cx="4679857"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19ED44F2-1393-434C-8070-471A267FE29C}" type="TxLink">
                    <a:rPr lang="en-US" sz="1600" b="1" i="0" u="none" strike="noStrike">
                      <a:solidFill>
                        <a:srgbClr val="002060"/>
                      </a:solidFill>
                      <a:latin typeface="Calibri"/>
                      <a:ea typeface="+mn-ea"/>
                      <a:cs typeface="Calibri"/>
                    </a:rPr>
                    <a:pPr marL="0" indent="0" algn="ctr"/>
                    <a:t>Capacity for 350 KTPA PVC Resin and 200 KTPA Phenol + 123 KTPA Acetone</a:t>
                  </a:fld>
                  <a:endParaRPr lang="en-IN" sz="1600" b="1" i="0" u="none" strike="noStrike">
                    <a:solidFill>
                      <a:srgbClr val="002060"/>
                    </a:solidFill>
                    <a:latin typeface="Calibri"/>
                    <a:ea typeface="+mn-ea"/>
                    <a:cs typeface="Calibri"/>
                  </a:endParaRPr>
                </a:p>
              </xdr:txBody>
            </xdr:sp>
            <xdr:sp macro="" textlink="$C$3">
              <xdr:nvSpPr>
                <xdr:cNvPr id="55" name="Rectangle: Rounded Corners 54">
                  <a:extLst>
                    <a:ext uri="{FF2B5EF4-FFF2-40B4-BE49-F238E27FC236}">
                      <a16:creationId xmlns:a16="http://schemas.microsoft.com/office/drawing/2014/main" id="{11CA359C-824C-9EB3-162D-55C5861F6DB7}"/>
                    </a:ext>
                  </a:extLst>
                </xdr:cNvPr>
                <xdr:cNvSpPr/>
              </xdr:nvSpPr>
              <xdr:spPr>
                <a:xfrm>
                  <a:off x="4313734" y="4020051"/>
                  <a:ext cx="1846992" cy="167896"/>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7F6A714-D6EB-4247-9C4D-A556FA0604E7}" type="TxLink">
                    <a:rPr lang="en-US" sz="18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18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nvGrpSpPr>
              <xdr:cNvPr id="42" name="Group 41">
                <a:extLst>
                  <a:ext uri="{FF2B5EF4-FFF2-40B4-BE49-F238E27FC236}">
                    <a16:creationId xmlns:a16="http://schemas.microsoft.com/office/drawing/2014/main" id="{73CF2B38-D8CB-21EB-C53A-A696D48FFCC9}"/>
                  </a:ext>
                </a:extLst>
              </xdr:cNvPr>
              <xdr:cNvGrpSpPr/>
            </xdr:nvGrpSpPr>
            <xdr:grpSpPr>
              <a:xfrm>
                <a:off x="4496456" y="3976043"/>
                <a:ext cx="1904914" cy="572673"/>
                <a:chOff x="5550554" y="3999327"/>
                <a:chExt cx="1904914" cy="572673"/>
              </a:xfrm>
            </xdr:grpSpPr>
            <xdr:sp macro="" textlink="Sheet3!G6">
              <xdr:nvSpPr>
                <xdr:cNvPr id="52" name="Rectangle: Rounded Corners 51">
                  <a:extLst>
                    <a:ext uri="{FF2B5EF4-FFF2-40B4-BE49-F238E27FC236}">
                      <a16:creationId xmlns:a16="http://schemas.microsoft.com/office/drawing/2014/main" id="{89B2BDF4-019A-234F-8521-862EB9D44BD1}"/>
                    </a:ext>
                  </a:extLst>
                </xdr:cNvPr>
                <xdr:cNvSpPr/>
              </xdr:nvSpPr>
              <xdr:spPr>
                <a:xfrm>
                  <a:off x="5550554" y="4000500"/>
                  <a:ext cx="1904914"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10582230-90A0-4179-B0A1-8B0FFA3B056C}" type="TxLink">
                    <a:rPr lang="en-US" sz="2400" b="1" i="0" u="none" strike="noStrike">
                      <a:solidFill>
                        <a:srgbClr val="002060"/>
                      </a:solidFill>
                      <a:latin typeface="Calibri"/>
                      <a:ea typeface="+mn-ea"/>
                      <a:cs typeface="Calibri"/>
                    </a:rPr>
                    <a:pPr marL="0" indent="0" algn="ctr"/>
                    <a:t>8,298 INR Cr</a:t>
                  </a:fld>
                  <a:endParaRPr lang="en-IN" sz="2400" b="1" i="0" u="none" strike="noStrike">
                    <a:solidFill>
                      <a:srgbClr val="002060"/>
                    </a:solidFill>
                    <a:latin typeface="Calibri"/>
                    <a:ea typeface="+mn-ea"/>
                    <a:cs typeface="Calibri"/>
                  </a:endParaRPr>
                </a:p>
              </xdr:txBody>
            </xdr:sp>
            <xdr:sp macro="" textlink="$D$3">
              <xdr:nvSpPr>
                <xdr:cNvPr id="53" name="Rectangle: Rounded Corners 52">
                  <a:extLst>
                    <a:ext uri="{FF2B5EF4-FFF2-40B4-BE49-F238E27FC236}">
                      <a16:creationId xmlns:a16="http://schemas.microsoft.com/office/drawing/2014/main" id="{84C782F1-9B70-27CF-9ADB-9B17711B68E9}"/>
                    </a:ext>
                  </a:extLst>
                </xdr:cNvPr>
                <xdr:cNvSpPr/>
              </xdr:nvSpPr>
              <xdr:spPr>
                <a:xfrm>
                  <a:off x="5568875" y="3999327"/>
                  <a:ext cx="1831647" cy="245081"/>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8E43463-30AC-4037-BDB1-B241C19CC46D}" type="TxLink">
                    <a:rPr lang="en-US" sz="2000" b="1" i="0" u="none" strike="noStrike">
                      <a:solidFill>
                        <a:srgbClr val="000000"/>
                      </a:solidFill>
                      <a:latin typeface="David" panose="020B0604020202020204" pitchFamily="34" charset="-79"/>
                      <a:cs typeface="David" panose="020B0604020202020204" pitchFamily="34" charset="-79"/>
                    </a:rPr>
                    <a:pPr algn="ctr"/>
                    <a:t> </a:t>
                  </a:fld>
                  <a:endParaRPr lang="en-IN" sz="2000" b="1">
                    <a:solidFill>
                      <a:schemeClr val="tx1"/>
                    </a:solidFill>
                    <a:latin typeface="David" panose="020B0604020202020204" pitchFamily="34" charset="-79"/>
                    <a:cs typeface="David" panose="020B0604020202020204" pitchFamily="34" charset="-79"/>
                  </a:endParaRPr>
                </a:p>
              </xdr:txBody>
            </xdr:sp>
          </xdr:grpSp>
          <xdr:grpSp>
            <xdr:nvGrpSpPr>
              <xdr:cNvPr id="43" name="Group 42">
                <a:extLst>
                  <a:ext uri="{FF2B5EF4-FFF2-40B4-BE49-F238E27FC236}">
                    <a16:creationId xmlns:a16="http://schemas.microsoft.com/office/drawing/2014/main" id="{4CD27908-2705-E647-30E7-3ED11D37D3C2}"/>
                  </a:ext>
                </a:extLst>
              </xdr:cNvPr>
              <xdr:cNvGrpSpPr/>
            </xdr:nvGrpSpPr>
            <xdr:grpSpPr>
              <a:xfrm>
                <a:off x="6401367" y="3977217"/>
                <a:ext cx="1976798" cy="571500"/>
                <a:chOff x="5525062" y="4000501"/>
                <a:chExt cx="1976798" cy="571500"/>
              </a:xfrm>
            </xdr:grpSpPr>
            <xdr:sp macro="" textlink="Sheet3!G9">
              <xdr:nvSpPr>
                <xdr:cNvPr id="50" name="Rectangle: Rounded Corners 49">
                  <a:extLst>
                    <a:ext uri="{FF2B5EF4-FFF2-40B4-BE49-F238E27FC236}">
                      <a16:creationId xmlns:a16="http://schemas.microsoft.com/office/drawing/2014/main" id="{F5CA6584-AFB3-6754-EA28-978B60DCE596}"/>
                    </a:ext>
                  </a:extLst>
                </xdr:cNvPr>
                <xdr:cNvSpPr/>
              </xdr:nvSpPr>
              <xdr:spPr>
                <a:xfrm>
                  <a:off x="5525062" y="4000501"/>
                  <a:ext cx="1976798" cy="571500"/>
                </a:xfrm>
                <a:prstGeom prst="roundRect">
                  <a:avLst>
                    <a:gd name="adj" fmla="val 4875"/>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B8A39C0B-CE82-46EE-A242-A7D02F99C3A7}" type="TxLink">
                    <a:rPr lang="en-US" sz="2400" b="1" i="0" u="none" strike="noStrike">
                      <a:solidFill>
                        <a:srgbClr val="002060"/>
                      </a:solidFill>
                      <a:latin typeface="Calibri"/>
                      <a:ea typeface="+mn-ea"/>
                      <a:cs typeface="Calibri"/>
                    </a:rPr>
                    <a:pPr marL="0" indent="0" algn="ctr"/>
                    <a:t>26,597 INR Cr</a:t>
                  </a:fld>
                  <a:endParaRPr lang="en-IN" sz="2400" b="1" i="0" u="none" strike="noStrike">
                    <a:solidFill>
                      <a:srgbClr val="002060"/>
                    </a:solidFill>
                    <a:latin typeface="Calibri"/>
                    <a:ea typeface="+mn-ea"/>
                    <a:cs typeface="Calibri"/>
                  </a:endParaRPr>
                </a:p>
              </xdr:txBody>
            </xdr:sp>
            <xdr:sp macro="" textlink="$F$3">
              <xdr:nvSpPr>
                <xdr:cNvPr id="51" name="Rectangle: Rounded Corners 50">
                  <a:extLst>
                    <a:ext uri="{FF2B5EF4-FFF2-40B4-BE49-F238E27FC236}">
                      <a16:creationId xmlns:a16="http://schemas.microsoft.com/office/drawing/2014/main" id="{0CEBB2A9-D613-7301-1F36-6B4777E19758}"/>
                    </a:ext>
                  </a:extLst>
                </xdr:cNvPr>
                <xdr:cNvSpPr/>
              </xdr:nvSpPr>
              <xdr:spPr>
                <a:xfrm>
                  <a:off x="5952373" y="4053924"/>
                  <a:ext cx="888346" cy="184492"/>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B757291-EB84-4E10-9160-71CEF0481722}" type="TxLink">
                    <a:rPr lang="en-US" sz="20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nvGrpSpPr>
              <xdr:cNvPr id="44" name="Group 43">
                <a:extLst>
                  <a:ext uri="{FF2B5EF4-FFF2-40B4-BE49-F238E27FC236}">
                    <a16:creationId xmlns:a16="http://schemas.microsoft.com/office/drawing/2014/main" id="{DF2842D7-61E4-F156-CE2B-71FC8FB736D0}"/>
                  </a:ext>
                </a:extLst>
              </xdr:cNvPr>
              <xdr:cNvGrpSpPr/>
            </xdr:nvGrpSpPr>
            <xdr:grpSpPr>
              <a:xfrm>
                <a:off x="8392968" y="3977216"/>
                <a:ext cx="1640058" cy="571500"/>
                <a:chOff x="5575676" y="4000500"/>
                <a:chExt cx="1640058" cy="571500"/>
              </a:xfrm>
            </xdr:grpSpPr>
            <xdr:sp macro="" textlink="Sheet3!G12">
              <xdr:nvSpPr>
                <xdr:cNvPr id="48" name="Rectangle: Rounded Corners 47">
                  <a:extLst>
                    <a:ext uri="{FF2B5EF4-FFF2-40B4-BE49-F238E27FC236}">
                      <a16:creationId xmlns:a16="http://schemas.microsoft.com/office/drawing/2014/main" id="{567EDCDC-AE08-08D9-124E-2820B3953AE4}"/>
                    </a:ext>
                  </a:extLst>
                </xdr:cNvPr>
                <xdr:cNvSpPr/>
              </xdr:nvSpPr>
              <xdr:spPr>
                <a:xfrm>
                  <a:off x="5575676" y="4000500"/>
                  <a:ext cx="1640058"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898063DE-5953-40C9-9BF7-D03B73949A68}" type="TxLink">
                    <a:rPr lang="en-US" sz="2400" b="1" i="0" u="none" strike="noStrike">
                      <a:solidFill>
                        <a:srgbClr val="002060"/>
                      </a:solidFill>
                      <a:latin typeface="Calibri"/>
                      <a:ea typeface="+mn-ea"/>
                      <a:cs typeface="Calibri"/>
                    </a:rPr>
                    <a:pPr marL="0" indent="0" algn="ctr"/>
                    <a:t>20.2%</a:t>
                  </a:fld>
                  <a:endParaRPr lang="en-IN" sz="2400" b="1" i="0" u="none" strike="noStrike">
                    <a:solidFill>
                      <a:srgbClr val="002060"/>
                    </a:solidFill>
                    <a:latin typeface="Calibri"/>
                    <a:ea typeface="+mn-ea"/>
                    <a:cs typeface="Calibri"/>
                  </a:endParaRPr>
                </a:p>
              </xdr:txBody>
            </xdr:sp>
            <xdr:sp macro="" textlink="$G$3">
              <xdr:nvSpPr>
                <xdr:cNvPr id="49" name="Rectangle: Rounded Corners 48">
                  <a:extLst>
                    <a:ext uri="{FF2B5EF4-FFF2-40B4-BE49-F238E27FC236}">
                      <a16:creationId xmlns:a16="http://schemas.microsoft.com/office/drawing/2014/main" id="{F203273D-ED65-EAA5-EFB3-F0AAA68A4A0B}"/>
                    </a:ext>
                  </a:extLst>
                </xdr:cNvPr>
                <xdr:cNvSpPr/>
              </xdr:nvSpPr>
              <xdr:spPr>
                <a:xfrm>
                  <a:off x="6011009" y="4019544"/>
                  <a:ext cx="705185" cy="191169"/>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292A814-5272-42B5-A9CE-E34668D4DB62}" type="TxLink">
                    <a:rPr lang="en-US" sz="20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nvGrpSpPr>
              <xdr:cNvPr id="45" name="Group 44">
                <a:extLst>
                  <a:ext uri="{FF2B5EF4-FFF2-40B4-BE49-F238E27FC236}">
                    <a16:creationId xmlns:a16="http://schemas.microsoft.com/office/drawing/2014/main" id="{A9CEDF70-4A2A-DEDE-9F6D-38A211FCFF90}"/>
                  </a:ext>
                </a:extLst>
              </xdr:cNvPr>
              <xdr:cNvGrpSpPr/>
            </xdr:nvGrpSpPr>
            <xdr:grpSpPr>
              <a:xfrm>
                <a:off x="10046349" y="3978658"/>
                <a:ext cx="1813331" cy="571500"/>
                <a:chOff x="5298669" y="4001942"/>
                <a:chExt cx="1813331" cy="571500"/>
              </a:xfrm>
            </xdr:grpSpPr>
            <xdr:sp macro="" textlink="Sheet3!G15">
              <xdr:nvSpPr>
                <xdr:cNvPr id="46" name="Rectangle: Rounded Corners 45">
                  <a:extLst>
                    <a:ext uri="{FF2B5EF4-FFF2-40B4-BE49-F238E27FC236}">
                      <a16:creationId xmlns:a16="http://schemas.microsoft.com/office/drawing/2014/main" id="{3474A09A-9B93-84BA-D8A4-25CC7F914289}"/>
                    </a:ext>
                  </a:extLst>
                </xdr:cNvPr>
                <xdr:cNvSpPr/>
              </xdr:nvSpPr>
              <xdr:spPr>
                <a:xfrm>
                  <a:off x="5298669" y="4001942"/>
                  <a:ext cx="1813331"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67EF676B-4836-47AD-AF7F-5FFD0EF8D54B}" type="TxLink">
                    <a:rPr lang="en-US" sz="2400" b="1" i="0" u="none" strike="noStrike">
                      <a:solidFill>
                        <a:srgbClr val="002060"/>
                      </a:solidFill>
                      <a:latin typeface="Calibri"/>
                      <a:ea typeface="+mn-ea"/>
                      <a:cs typeface="Calibri"/>
                    </a:rPr>
                    <a:pPr marL="0" indent="0" algn="ctr"/>
                    <a:t>3.1 Yrs</a:t>
                  </a:fld>
                  <a:endParaRPr lang="en-US" sz="2400" b="1" i="0" u="none" strike="noStrike">
                    <a:solidFill>
                      <a:srgbClr val="002060"/>
                    </a:solidFill>
                    <a:latin typeface="Calibri"/>
                    <a:ea typeface="+mn-ea"/>
                    <a:cs typeface="Calibri"/>
                  </a:endParaRPr>
                </a:p>
              </xdr:txBody>
            </xdr:sp>
            <xdr:sp macro="" textlink="">
              <xdr:nvSpPr>
                <xdr:cNvPr id="47" name="Rectangle: Rounded Corners 46">
                  <a:extLst>
                    <a:ext uri="{FF2B5EF4-FFF2-40B4-BE49-F238E27FC236}">
                      <a16:creationId xmlns:a16="http://schemas.microsoft.com/office/drawing/2014/main" id="{D7E408F0-9C76-055E-2F79-33C4C85C66E2}"/>
                    </a:ext>
                  </a:extLst>
                </xdr:cNvPr>
                <xdr:cNvSpPr/>
              </xdr:nvSpPr>
              <xdr:spPr>
                <a:xfrm>
                  <a:off x="5784058" y="4006245"/>
                  <a:ext cx="1071516" cy="184250"/>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sp macro="" textlink="">
          <xdr:nvSpPr>
            <xdr:cNvPr id="36" name="Rectangle 35">
              <a:extLst>
                <a:ext uri="{FF2B5EF4-FFF2-40B4-BE49-F238E27FC236}">
                  <a16:creationId xmlns:a16="http://schemas.microsoft.com/office/drawing/2014/main" id="{0712954F-1D82-F438-7C6F-F0D8DCB3A95F}"/>
                </a:ext>
              </a:extLst>
            </xdr:cNvPr>
            <xdr:cNvSpPr/>
          </xdr:nvSpPr>
          <xdr:spPr>
            <a:xfrm>
              <a:off x="12265581" y="245530"/>
              <a:ext cx="1599141"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B7C3120-32BA-4194-BCCC-19CB0C07FBD3}" type="TxLink">
                <a:rPr lang="en-US" sz="1800" b="1" i="0" u="none" strike="noStrike">
                  <a:solidFill>
                    <a:sysClr val="windowText" lastClr="000000"/>
                  </a:solidFill>
                  <a:latin typeface="David" panose="020E0502060401010101" pitchFamily="34" charset="-79"/>
                  <a:ea typeface="+mn-ea"/>
                  <a:cs typeface="David" panose="020E0502060401010101" pitchFamily="34" charset="-79"/>
                </a:rPr>
                <a:pPr marL="0" indent="0" algn="ctr"/>
                <a:t>Payback (Yrs)</a:t>
              </a:fld>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grpSp>
      <xdr:grpSp>
        <xdr:nvGrpSpPr>
          <xdr:cNvPr id="63" name="Group 62">
            <a:extLst>
              <a:ext uri="{FF2B5EF4-FFF2-40B4-BE49-F238E27FC236}">
                <a16:creationId xmlns:a16="http://schemas.microsoft.com/office/drawing/2014/main" id="{8CC0E04C-1BA5-1010-5BBA-8C139D4D887E}"/>
              </a:ext>
            </a:extLst>
          </xdr:cNvPr>
          <xdr:cNvGrpSpPr/>
        </xdr:nvGrpSpPr>
        <xdr:grpSpPr>
          <a:xfrm>
            <a:off x="0" y="3587752"/>
            <a:ext cx="4318000" cy="2087237"/>
            <a:chOff x="0" y="2554821"/>
            <a:chExt cx="4296834" cy="2673348"/>
          </a:xfrm>
        </xdr:grpSpPr>
        <xdr:sp macro="" textlink="">
          <xdr:nvSpPr>
            <xdr:cNvPr id="60" name="Rectangle 59">
              <a:extLst>
                <a:ext uri="{FF2B5EF4-FFF2-40B4-BE49-F238E27FC236}">
                  <a16:creationId xmlns:a16="http://schemas.microsoft.com/office/drawing/2014/main" id="{832F3569-C712-6806-F873-DE4977FDCAAB}"/>
                </a:ext>
              </a:extLst>
            </xdr:cNvPr>
            <xdr:cNvSpPr/>
          </xdr:nvSpPr>
          <xdr:spPr>
            <a:xfrm>
              <a:off x="21167" y="2554821"/>
              <a:ext cx="4275667" cy="2673348"/>
            </a:xfrm>
            <a:prstGeom prst="rect">
              <a:avLst/>
            </a:prstGeom>
            <a:gradFill>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62" name="Chart 61">
              <a:extLst>
                <a:ext uri="{FF2B5EF4-FFF2-40B4-BE49-F238E27FC236}">
                  <a16:creationId xmlns:a16="http://schemas.microsoft.com/office/drawing/2014/main" id="{A07314EE-C1F0-4DB6-82ED-31FBF7B11F37}"/>
                </a:ext>
              </a:extLst>
            </xdr:cNvPr>
            <xdr:cNvGraphicFramePr>
              <a:graphicFrameLocks/>
            </xdr:cNvGraphicFramePr>
          </xdr:nvGraphicFramePr>
          <xdr:xfrm>
            <a:off x="0" y="2582333"/>
            <a:ext cx="4233333" cy="260219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67" name="Group 66">
            <a:extLst>
              <a:ext uri="{FF2B5EF4-FFF2-40B4-BE49-F238E27FC236}">
                <a16:creationId xmlns:a16="http://schemas.microsoft.com/office/drawing/2014/main" id="{58265EBC-BF00-4BC7-B8C7-502D1C24A34E}"/>
              </a:ext>
            </a:extLst>
          </xdr:cNvPr>
          <xdr:cNvGrpSpPr/>
        </xdr:nvGrpSpPr>
        <xdr:grpSpPr>
          <a:xfrm>
            <a:off x="9715501" y="1439332"/>
            <a:ext cx="4011077" cy="1756833"/>
            <a:chOff x="8448675" y="1384307"/>
            <a:chExt cx="3869269" cy="2044693"/>
          </a:xfrm>
        </xdr:grpSpPr>
        <xdr:sp macro="" textlink="">
          <xdr:nvSpPr>
            <xdr:cNvPr id="68" name="Rectangle 67">
              <a:extLst>
                <a:ext uri="{FF2B5EF4-FFF2-40B4-BE49-F238E27FC236}">
                  <a16:creationId xmlns:a16="http://schemas.microsoft.com/office/drawing/2014/main" id="{DEC45E02-B0E2-3B26-28A8-1D97AEDF8A18}"/>
                </a:ext>
              </a:extLst>
            </xdr:cNvPr>
            <xdr:cNvSpPr/>
          </xdr:nvSpPr>
          <xdr:spPr>
            <a:xfrm>
              <a:off x="8448675" y="1384307"/>
              <a:ext cx="3869269" cy="2044693"/>
            </a:xfrm>
            <a:prstGeom prst="rect">
              <a:avLst/>
            </a:prstGeom>
            <a:gradFill flip="none" rotWithShape="1">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path path="circle">
                <a:fillToRect r="100000" b="100000"/>
              </a:path>
              <a:tileRect l="-100000" t="-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69" name="Chart 68">
              <a:extLst>
                <a:ext uri="{FF2B5EF4-FFF2-40B4-BE49-F238E27FC236}">
                  <a16:creationId xmlns:a16="http://schemas.microsoft.com/office/drawing/2014/main" id="{5748D24C-AA56-ED79-0FB6-9EDCAD18DD08}"/>
                </a:ext>
              </a:extLst>
            </xdr:cNvPr>
            <xdr:cNvGraphicFramePr>
              <a:graphicFrameLocks/>
            </xdr:cNvGraphicFramePr>
          </xdr:nvGraphicFramePr>
          <xdr:xfrm>
            <a:off x="8515350" y="1419226"/>
            <a:ext cx="3733800" cy="1936751"/>
          </xdr:xfrm>
          <a:graphic>
            <a:graphicData uri="http://schemas.openxmlformats.org/drawingml/2006/chart">
              <c:chart xmlns:c="http://schemas.openxmlformats.org/drawingml/2006/chart" xmlns:r="http://schemas.openxmlformats.org/officeDocument/2006/relationships" r:id="rId4"/>
            </a:graphicData>
          </a:graphic>
        </xdr:graphicFrame>
      </xdr:grpSp>
      <xdr:sp macro="" textlink="Sheet3!G11">
        <xdr:nvSpPr>
          <xdr:cNvPr id="32" name="Rectangle 31">
            <a:extLst>
              <a:ext uri="{FF2B5EF4-FFF2-40B4-BE49-F238E27FC236}">
                <a16:creationId xmlns:a16="http://schemas.microsoft.com/office/drawing/2014/main" id="{57DCBC41-222B-4BA5-9974-39DFA32CDC45}"/>
              </a:ext>
            </a:extLst>
          </xdr:cNvPr>
          <xdr:cNvSpPr/>
        </xdr:nvSpPr>
        <xdr:spPr>
          <a:xfrm>
            <a:off x="9969474" y="59484"/>
            <a:ext cx="1595334"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54C2B97F-149D-4DD7-8B5C-C3539F96104C}" type="TxLink">
              <a:rPr lang="en-US" sz="1800" b="1" i="0" u="none" strike="noStrike">
                <a:solidFill>
                  <a:sysClr val="windowText" lastClr="000000"/>
                </a:solidFill>
                <a:latin typeface="David" panose="020E0502060401010101" pitchFamily="34" charset="-79"/>
                <a:ea typeface="+mn-ea"/>
                <a:cs typeface="David" panose="020E0502060401010101" pitchFamily="34" charset="-79"/>
              </a:rPr>
              <a:pPr marL="0" indent="0" algn="ctr"/>
              <a:t>IRR</a:t>
            </a:fld>
            <a:endParaRPr lang="en-IN" sz="32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sp macro="" textlink="">
        <xdr:nvSpPr>
          <xdr:cNvPr id="33" name="Rectangle 32">
            <a:extLst>
              <a:ext uri="{FF2B5EF4-FFF2-40B4-BE49-F238E27FC236}">
                <a16:creationId xmlns:a16="http://schemas.microsoft.com/office/drawing/2014/main" id="{4CBEFC05-5CE2-46E1-89C7-B62475A7680F}"/>
              </a:ext>
            </a:extLst>
          </xdr:cNvPr>
          <xdr:cNvSpPr/>
        </xdr:nvSpPr>
        <xdr:spPr>
          <a:xfrm>
            <a:off x="7941705" y="63719"/>
            <a:ext cx="1595334"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NPV</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sp macro="" textlink="">
        <xdr:nvSpPr>
          <xdr:cNvPr id="35" name="Rectangle 34">
            <a:extLst>
              <a:ext uri="{FF2B5EF4-FFF2-40B4-BE49-F238E27FC236}">
                <a16:creationId xmlns:a16="http://schemas.microsoft.com/office/drawing/2014/main" id="{62776BC6-4244-FEA0-6E8D-69E3C7927A35}"/>
              </a:ext>
            </a:extLst>
          </xdr:cNvPr>
          <xdr:cNvSpPr/>
        </xdr:nvSpPr>
        <xdr:spPr>
          <a:xfrm>
            <a:off x="5513917" y="67954"/>
            <a:ext cx="2021415"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Total Investment</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sp macro="" textlink="">
        <xdr:nvSpPr>
          <xdr:cNvPr id="38" name="Rectangle 37">
            <a:extLst>
              <a:ext uri="{FF2B5EF4-FFF2-40B4-BE49-F238E27FC236}">
                <a16:creationId xmlns:a16="http://schemas.microsoft.com/office/drawing/2014/main" id="{33B97D61-B6DA-68AA-81C6-BFF59EE87230}"/>
              </a:ext>
            </a:extLst>
          </xdr:cNvPr>
          <xdr:cNvSpPr/>
        </xdr:nvSpPr>
        <xdr:spPr>
          <a:xfrm>
            <a:off x="2023512" y="61606"/>
            <a:ext cx="1807657"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Total Capacity</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0</xdr:col>
      <xdr:colOff>76200</xdr:colOff>
      <xdr:row>9</xdr:row>
      <xdr:rowOff>66675</xdr:rowOff>
    </xdr:to>
    <xdr:sp macro="" textlink="">
      <xdr:nvSpPr>
        <xdr:cNvPr id="2" name="Text Box 2">
          <a:extLst>
            <a:ext uri="{FF2B5EF4-FFF2-40B4-BE49-F238E27FC236}">
              <a16:creationId xmlns:a16="http://schemas.microsoft.com/office/drawing/2014/main" id="{785B7ECB-7B7A-43DF-8EE5-F733843AA6B5}"/>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3" name="Text Box 3">
          <a:extLst>
            <a:ext uri="{FF2B5EF4-FFF2-40B4-BE49-F238E27FC236}">
              <a16:creationId xmlns:a16="http://schemas.microsoft.com/office/drawing/2014/main" id="{61C61DFD-B8B3-4479-B1B6-F744A862C14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4" name="Text Box 4">
          <a:extLst>
            <a:ext uri="{FF2B5EF4-FFF2-40B4-BE49-F238E27FC236}">
              <a16:creationId xmlns:a16="http://schemas.microsoft.com/office/drawing/2014/main" id="{1AD18AD0-85F2-49D0-A341-0BB957DBBE27}"/>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5" name="Text Box 5">
          <a:extLst>
            <a:ext uri="{FF2B5EF4-FFF2-40B4-BE49-F238E27FC236}">
              <a16:creationId xmlns:a16="http://schemas.microsoft.com/office/drawing/2014/main" id="{1A41DD6E-13E0-4CCA-AB7F-9BAC6A321B92}"/>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6" name="Text Box 6">
          <a:extLst>
            <a:ext uri="{FF2B5EF4-FFF2-40B4-BE49-F238E27FC236}">
              <a16:creationId xmlns:a16="http://schemas.microsoft.com/office/drawing/2014/main" id="{ABAB109E-9D3A-4289-9277-8A6070976E6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7" name="Text Box 7">
          <a:extLst>
            <a:ext uri="{FF2B5EF4-FFF2-40B4-BE49-F238E27FC236}">
              <a16:creationId xmlns:a16="http://schemas.microsoft.com/office/drawing/2014/main" id="{9242F87C-0E49-4E15-BC38-45AB4B42FFBB}"/>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8" name="Text Box 8">
          <a:extLst>
            <a:ext uri="{FF2B5EF4-FFF2-40B4-BE49-F238E27FC236}">
              <a16:creationId xmlns:a16="http://schemas.microsoft.com/office/drawing/2014/main" id="{6BA33754-8632-428A-BEF3-13B5FCB5E5CC}"/>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9" name="Text Box 9">
          <a:extLst>
            <a:ext uri="{FF2B5EF4-FFF2-40B4-BE49-F238E27FC236}">
              <a16:creationId xmlns:a16="http://schemas.microsoft.com/office/drawing/2014/main" id="{2D255C4F-774F-42FC-9A5A-5F6E39BEB84A}"/>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0" name="Text Box 10">
          <a:extLst>
            <a:ext uri="{FF2B5EF4-FFF2-40B4-BE49-F238E27FC236}">
              <a16:creationId xmlns:a16="http://schemas.microsoft.com/office/drawing/2014/main" id="{BF10225B-AC23-4AA3-953B-11C4C2ED056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1" name="Text Box 11">
          <a:extLst>
            <a:ext uri="{FF2B5EF4-FFF2-40B4-BE49-F238E27FC236}">
              <a16:creationId xmlns:a16="http://schemas.microsoft.com/office/drawing/2014/main" id="{46A2AAA2-B585-4E3B-8A7F-81BDBEB45C39}"/>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2" name="Text Box 12">
          <a:extLst>
            <a:ext uri="{FF2B5EF4-FFF2-40B4-BE49-F238E27FC236}">
              <a16:creationId xmlns:a16="http://schemas.microsoft.com/office/drawing/2014/main" id="{D46C58D8-6D6F-417B-B800-E58DFAB77CF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3" name="Text Box 13">
          <a:extLst>
            <a:ext uri="{FF2B5EF4-FFF2-40B4-BE49-F238E27FC236}">
              <a16:creationId xmlns:a16="http://schemas.microsoft.com/office/drawing/2014/main" id="{BB454292-C077-40DF-9191-40B44E1C8A8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4" name="Text Box 14">
          <a:extLst>
            <a:ext uri="{FF2B5EF4-FFF2-40B4-BE49-F238E27FC236}">
              <a16:creationId xmlns:a16="http://schemas.microsoft.com/office/drawing/2014/main" id="{7D2339A2-1178-4094-89DA-E79C60139F31}"/>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5" name="Text Box 15">
          <a:extLst>
            <a:ext uri="{FF2B5EF4-FFF2-40B4-BE49-F238E27FC236}">
              <a16:creationId xmlns:a16="http://schemas.microsoft.com/office/drawing/2014/main" id="{9F423E43-B079-4694-86E8-47E46A9E87B3}"/>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6" name="Text Box 16">
          <a:extLst>
            <a:ext uri="{FF2B5EF4-FFF2-40B4-BE49-F238E27FC236}">
              <a16:creationId xmlns:a16="http://schemas.microsoft.com/office/drawing/2014/main" id="{06A6385A-EFCA-4537-9A3C-B5E48861243B}"/>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7" name="Text Box 17">
          <a:extLst>
            <a:ext uri="{FF2B5EF4-FFF2-40B4-BE49-F238E27FC236}">
              <a16:creationId xmlns:a16="http://schemas.microsoft.com/office/drawing/2014/main" id="{84091664-B33E-49E0-8DA1-AA74EA76E19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8" name="Text Box 18">
          <a:extLst>
            <a:ext uri="{FF2B5EF4-FFF2-40B4-BE49-F238E27FC236}">
              <a16:creationId xmlns:a16="http://schemas.microsoft.com/office/drawing/2014/main" id="{ADDC589E-F0B8-4A6E-B2CA-5A6D1FE1E67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9" name="Text Box 19">
          <a:extLst>
            <a:ext uri="{FF2B5EF4-FFF2-40B4-BE49-F238E27FC236}">
              <a16:creationId xmlns:a16="http://schemas.microsoft.com/office/drawing/2014/main" id="{7BD7E522-9BB3-483B-B7CB-120AB9FFCEA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0" name="Text Box 20">
          <a:extLst>
            <a:ext uri="{FF2B5EF4-FFF2-40B4-BE49-F238E27FC236}">
              <a16:creationId xmlns:a16="http://schemas.microsoft.com/office/drawing/2014/main" id="{0D530FED-3070-4DED-99A6-AB8FE54CFAF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1" name="Text Box 21">
          <a:extLst>
            <a:ext uri="{FF2B5EF4-FFF2-40B4-BE49-F238E27FC236}">
              <a16:creationId xmlns:a16="http://schemas.microsoft.com/office/drawing/2014/main" id="{176B339B-04C4-43BC-8476-8C43EF1D6C51}"/>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2" name="Text Box 22">
          <a:extLst>
            <a:ext uri="{FF2B5EF4-FFF2-40B4-BE49-F238E27FC236}">
              <a16:creationId xmlns:a16="http://schemas.microsoft.com/office/drawing/2014/main" id="{D9D130F5-BCF4-4D3D-B7DC-1595F90CD259}"/>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3" name="Text Box 23">
          <a:extLst>
            <a:ext uri="{FF2B5EF4-FFF2-40B4-BE49-F238E27FC236}">
              <a16:creationId xmlns:a16="http://schemas.microsoft.com/office/drawing/2014/main" id="{1B536F5C-893C-4730-B52C-76D1744982DC}"/>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4" name="Text Box 24">
          <a:extLst>
            <a:ext uri="{FF2B5EF4-FFF2-40B4-BE49-F238E27FC236}">
              <a16:creationId xmlns:a16="http://schemas.microsoft.com/office/drawing/2014/main" id="{CB515A20-E808-4F33-ACAA-EDD9CF7D366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5" name="Text Box 25">
          <a:extLst>
            <a:ext uri="{FF2B5EF4-FFF2-40B4-BE49-F238E27FC236}">
              <a16:creationId xmlns:a16="http://schemas.microsoft.com/office/drawing/2014/main" id="{1A86E8E4-C8FC-4BAC-924F-5801C2BC527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6" name="Text Box 26">
          <a:extLst>
            <a:ext uri="{FF2B5EF4-FFF2-40B4-BE49-F238E27FC236}">
              <a16:creationId xmlns:a16="http://schemas.microsoft.com/office/drawing/2014/main" id="{7E810C44-5DE1-4799-8781-6701418D8547}"/>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7" name="Text Box 27">
          <a:extLst>
            <a:ext uri="{FF2B5EF4-FFF2-40B4-BE49-F238E27FC236}">
              <a16:creationId xmlns:a16="http://schemas.microsoft.com/office/drawing/2014/main" id="{B24CF75C-BA1A-4088-AE20-5BBE445B3D0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8" name="Text Box 28">
          <a:extLst>
            <a:ext uri="{FF2B5EF4-FFF2-40B4-BE49-F238E27FC236}">
              <a16:creationId xmlns:a16="http://schemas.microsoft.com/office/drawing/2014/main" id="{937B30D6-FAFB-43F6-A18A-F64859ABE5B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9" name="Text Box 29">
          <a:extLst>
            <a:ext uri="{FF2B5EF4-FFF2-40B4-BE49-F238E27FC236}">
              <a16:creationId xmlns:a16="http://schemas.microsoft.com/office/drawing/2014/main" id="{C6AFD129-5F7B-43C1-99B9-3E7A1C430AD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30" name="Text Box 30">
          <a:extLst>
            <a:ext uri="{FF2B5EF4-FFF2-40B4-BE49-F238E27FC236}">
              <a16:creationId xmlns:a16="http://schemas.microsoft.com/office/drawing/2014/main" id="{E32EBB6C-3A98-4AE9-A148-3F24B955A94A}"/>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5</xdr:col>
      <xdr:colOff>0</xdr:colOff>
      <xdr:row>0</xdr:row>
      <xdr:rowOff>0</xdr:rowOff>
    </xdr:from>
    <xdr:to>
      <xdr:col>5</xdr:col>
      <xdr:colOff>0</xdr:colOff>
      <xdr:row>0</xdr:row>
      <xdr:rowOff>0</xdr:rowOff>
    </xdr:to>
    <xdr:pic>
      <xdr:nvPicPr>
        <xdr:cNvPr id="31" name="Picture 31">
          <a:extLst>
            <a:ext uri="{FF2B5EF4-FFF2-40B4-BE49-F238E27FC236}">
              <a16:creationId xmlns:a16="http://schemas.microsoft.com/office/drawing/2014/main" id="{997E15F6-7EF0-47D2-8672-A6B361710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2" name="Picture 32">
          <a:extLst>
            <a:ext uri="{FF2B5EF4-FFF2-40B4-BE49-F238E27FC236}">
              <a16:creationId xmlns:a16="http://schemas.microsoft.com/office/drawing/2014/main" id="{A614D453-11FA-4304-8787-0D936254B7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3" name="Picture 33">
          <a:extLst>
            <a:ext uri="{FF2B5EF4-FFF2-40B4-BE49-F238E27FC236}">
              <a16:creationId xmlns:a16="http://schemas.microsoft.com/office/drawing/2014/main" id="{D8674B81-D6F0-4BA2-B005-BFAFB26E36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4" name="Picture 34">
          <a:extLst>
            <a:ext uri="{FF2B5EF4-FFF2-40B4-BE49-F238E27FC236}">
              <a16:creationId xmlns:a16="http://schemas.microsoft.com/office/drawing/2014/main" id="{93CA5CF3-8664-4A0A-8913-BF56D65944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5" name="Picture 35">
          <a:extLst>
            <a:ext uri="{FF2B5EF4-FFF2-40B4-BE49-F238E27FC236}">
              <a16:creationId xmlns:a16="http://schemas.microsoft.com/office/drawing/2014/main" id="{0359418F-EA69-4F2E-B70B-078658B429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6" name="Picture 36">
          <a:extLst>
            <a:ext uri="{FF2B5EF4-FFF2-40B4-BE49-F238E27FC236}">
              <a16:creationId xmlns:a16="http://schemas.microsoft.com/office/drawing/2014/main" id="{CFDA33B1-21B8-46F3-B0BC-BE17B8E32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oneCellAnchor>
    <xdr:from>
      <xdr:col>0</xdr:col>
      <xdr:colOff>0</xdr:colOff>
      <xdr:row>18</xdr:row>
      <xdr:rowOff>0</xdr:rowOff>
    </xdr:from>
    <xdr:ext cx="76200" cy="257175"/>
    <xdr:sp macro="" textlink="">
      <xdr:nvSpPr>
        <xdr:cNvPr id="37" name="Text Box 2">
          <a:extLst>
            <a:ext uri="{FF2B5EF4-FFF2-40B4-BE49-F238E27FC236}">
              <a16:creationId xmlns:a16="http://schemas.microsoft.com/office/drawing/2014/main" id="{618F8610-890A-46F3-8CCF-53EAA4E846FD}"/>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38" name="Text Box 3">
          <a:extLst>
            <a:ext uri="{FF2B5EF4-FFF2-40B4-BE49-F238E27FC236}">
              <a16:creationId xmlns:a16="http://schemas.microsoft.com/office/drawing/2014/main" id="{41B57925-FC65-4160-A898-50A65119856B}"/>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39" name="Text Box 4">
          <a:extLst>
            <a:ext uri="{FF2B5EF4-FFF2-40B4-BE49-F238E27FC236}">
              <a16:creationId xmlns:a16="http://schemas.microsoft.com/office/drawing/2014/main" id="{32C1537B-80FB-43B7-A51F-0F3BF34FC19A}"/>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0" name="Text Box 5">
          <a:extLst>
            <a:ext uri="{FF2B5EF4-FFF2-40B4-BE49-F238E27FC236}">
              <a16:creationId xmlns:a16="http://schemas.microsoft.com/office/drawing/2014/main" id="{E546F273-9FA3-48F4-88B0-D9E5911373B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1" name="Text Box 6">
          <a:extLst>
            <a:ext uri="{FF2B5EF4-FFF2-40B4-BE49-F238E27FC236}">
              <a16:creationId xmlns:a16="http://schemas.microsoft.com/office/drawing/2014/main" id="{6E95C2D8-6864-4B49-B055-A10D32B10CBB}"/>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2" name="Text Box 7">
          <a:extLst>
            <a:ext uri="{FF2B5EF4-FFF2-40B4-BE49-F238E27FC236}">
              <a16:creationId xmlns:a16="http://schemas.microsoft.com/office/drawing/2014/main" id="{907B17F6-EC32-4A2E-9F9E-E5BDAF337F10}"/>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3" name="Text Box 8">
          <a:extLst>
            <a:ext uri="{FF2B5EF4-FFF2-40B4-BE49-F238E27FC236}">
              <a16:creationId xmlns:a16="http://schemas.microsoft.com/office/drawing/2014/main" id="{8FCD7444-A04A-45F1-8DE1-1053DFC0D99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4" name="Text Box 9">
          <a:extLst>
            <a:ext uri="{FF2B5EF4-FFF2-40B4-BE49-F238E27FC236}">
              <a16:creationId xmlns:a16="http://schemas.microsoft.com/office/drawing/2014/main" id="{6E6DAAC3-B3F7-4836-90EF-3D899E1CA4D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5" name="Text Box 10">
          <a:extLst>
            <a:ext uri="{FF2B5EF4-FFF2-40B4-BE49-F238E27FC236}">
              <a16:creationId xmlns:a16="http://schemas.microsoft.com/office/drawing/2014/main" id="{4954FD96-A16B-429B-9447-A4521C68B82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6" name="Text Box 11">
          <a:extLst>
            <a:ext uri="{FF2B5EF4-FFF2-40B4-BE49-F238E27FC236}">
              <a16:creationId xmlns:a16="http://schemas.microsoft.com/office/drawing/2014/main" id="{6C4843E1-05F9-49F1-A894-375F731A2D3F}"/>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7" name="Text Box 12">
          <a:extLst>
            <a:ext uri="{FF2B5EF4-FFF2-40B4-BE49-F238E27FC236}">
              <a16:creationId xmlns:a16="http://schemas.microsoft.com/office/drawing/2014/main" id="{FCCF4EFC-9AC0-4400-9A7A-31D1BE64DE0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8" name="Text Box 13">
          <a:extLst>
            <a:ext uri="{FF2B5EF4-FFF2-40B4-BE49-F238E27FC236}">
              <a16:creationId xmlns:a16="http://schemas.microsoft.com/office/drawing/2014/main" id="{2100D060-CB5F-466D-8207-C6AD402519CA}"/>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9" name="Text Box 14">
          <a:extLst>
            <a:ext uri="{FF2B5EF4-FFF2-40B4-BE49-F238E27FC236}">
              <a16:creationId xmlns:a16="http://schemas.microsoft.com/office/drawing/2014/main" id="{7832C6FC-ECE7-43DC-92C3-DD62E9E440F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0" name="Text Box 15">
          <a:extLst>
            <a:ext uri="{FF2B5EF4-FFF2-40B4-BE49-F238E27FC236}">
              <a16:creationId xmlns:a16="http://schemas.microsoft.com/office/drawing/2014/main" id="{34666A16-5F7B-491F-8FC6-EB75453B5AE4}"/>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1" name="Text Box 16">
          <a:extLst>
            <a:ext uri="{FF2B5EF4-FFF2-40B4-BE49-F238E27FC236}">
              <a16:creationId xmlns:a16="http://schemas.microsoft.com/office/drawing/2014/main" id="{1D3B1BD0-EA23-45B1-9C7E-C43AB9899C9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2" name="Text Box 17">
          <a:extLst>
            <a:ext uri="{FF2B5EF4-FFF2-40B4-BE49-F238E27FC236}">
              <a16:creationId xmlns:a16="http://schemas.microsoft.com/office/drawing/2014/main" id="{058EF16A-3A50-4E48-B8D8-20BF07D62614}"/>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3" name="Text Box 18">
          <a:extLst>
            <a:ext uri="{FF2B5EF4-FFF2-40B4-BE49-F238E27FC236}">
              <a16:creationId xmlns:a16="http://schemas.microsoft.com/office/drawing/2014/main" id="{E753E921-B7DA-4BCB-B366-6CA0EFE89CE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4" name="Text Box 19">
          <a:extLst>
            <a:ext uri="{FF2B5EF4-FFF2-40B4-BE49-F238E27FC236}">
              <a16:creationId xmlns:a16="http://schemas.microsoft.com/office/drawing/2014/main" id="{18F12030-4091-4CF1-B4B2-BC54D8A3D281}"/>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5" name="Text Box 20">
          <a:extLst>
            <a:ext uri="{FF2B5EF4-FFF2-40B4-BE49-F238E27FC236}">
              <a16:creationId xmlns:a16="http://schemas.microsoft.com/office/drawing/2014/main" id="{1783AE26-BB8A-4749-A0FB-FBC2B711E749}"/>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6" name="Text Box 21">
          <a:extLst>
            <a:ext uri="{FF2B5EF4-FFF2-40B4-BE49-F238E27FC236}">
              <a16:creationId xmlns:a16="http://schemas.microsoft.com/office/drawing/2014/main" id="{2E379992-AF2B-4BA3-8898-B85346CE45E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7" name="Text Box 22">
          <a:extLst>
            <a:ext uri="{FF2B5EF4-FFF2-40B4-BE49-F238E27FC236}">
              <a16:creationId xmlns:a16="http://schemas.microsoft.com/office/drawing/2014/main" id="{178C29AE-3D01-4FA7-9405-E622D1CA0A2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8" name="Text Box 23">
          <a:extLst>
            <a:ext uri="{FF2B5EF4-FFF2-40B4-BE49-F238E27FC236}">
              <a16:creationId xmlns:a16="http://schemas.microsoft.com/office/drawing/2014/main" id="{16DAAC54-8C7E-4B15-9BE0-6EE95AEFA17A}"/>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9" name="Text Box 24">
          <a:extLst>
            <a:ext uri="{FF2B5EF4-FFF2-40B4-BE49-F238E27FC236}">
              <a16:creationId xmlns:a16="http://schemas.microsoft.com/office/drawing/2014/main" id="{B4F909C2-8830-4EEB-A0F7-FBBBFFD77C5F}"/>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0" name="Text Box 25">
          <a:extLst>
            <a:ext uri="{FF2B5EF4-FFF2-40B4-BE49-F238E27FC236}">
              <a16:creationId xmlns:a16="http://schemas.microsoft.com/office/drawing/2014/main" id="{28360A8C-3DC9-4445-A7A9-7C4067503033}"/>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1" name="Text Box 26">
          <a:extLst>
            <a:ext uri="{FF2B5EF4-FFF2-40B4-BE49-F238E27FC236}">
              <a16:creationId xmlns:a16="http://schemas.microsoft.com/office/drawing/2014/main" id="{511ED084-0B79-4A00-807F-A1EFC06C1206}"/>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2" name="Text Box 27">
          <a:extLst>
            <a:ext uri="{FF2B5EF4-FFF2-40B4-BE49-F238E27FC236}">
              <a16:creationId xmlns:a16="http://schemas.microsoft.com/office/drawing/2014/main" id="{93785A66-78A0-4E82-96A6-EF2B34D7763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3" name="Text Box 28">
          <a:extLst>
            <a:ext uri="{FF2B5EF4-FFF2-40B4-BE49-F238E27FC236}">
              <a16:creationId xmlns:a16="http://schemas.microsoft.com/office/drawing/2014/main" id="{AD1FD198-E3D4-4BB1-8250-4380793AE0E2}"/>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4" name="Text Box 29">
          <a:extLst>
            <a:ext uri="{FF2B5EF4-FFF2-40B4-BE49-F238E27FC236}">
              <a16:creationId xmlns:a16="http://schemas.microsoft.com/office/drawing/2014/main" id="{83B16F03-EEDC-48EB-A08B-F728E3E28229}"/>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5" name="Text Box 30">
          <a:extLst>
            <a:ext uri="{FF2B5EF4-FFF2-40B4-BE49-F238E27FC236}">
              <a16:creationId xmlns:a16="http://schemas.microsoft.com/office/drawing/2014/main" id="{B41EEA85-6F62-4C59-BF51-89D8F990F95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10</xdr:col>
      <xdr:colOff>95250</xdr:colOff>
      <xdr:row>21</xdr:row>
      <xdr:rowOff>9526</xdr:rowOff>
    </xdr:to>
    <xdr:pic>
      <xdr:nvPicPr>
        <xdr:cNvPr id="4" name="Picture 3">
          <a:extLst>
            <a:ext uri="{FF2B5EF4-FFF2-40B4-BE49-F238E27FC236}">
              <a16:creationId xmlns:a16="http://schemas.microsoft.com/office/drawing/2014/main" id="{EABF2F5E-35E4-4331-AEA9-F1784195CF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2667000"/>
          <a:ext cx="5581650" cy="134302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ackup/D/Studies%20&amp;%20Reports/Chem%20Report%202002%20for%20Sabic/App%20V%20Case%20I%20Fin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y%20Documents/EXCEL/03/BP/Data%20file%20BP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Report\Monthly\2020\11.%20November\Copy%20of%20CPP%20Repor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21065/Desktop/Excel/CPP%20Monitoring%20Shee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rajeshwar/Desktop/Hardik/27-06-2022_TEFR%20Phenol%20Acetone%20Market%202010-204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Desktop%20Data\Dashboard\TEFR%20PVC%20Phenol%20%20Acetone-Latest.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aideep.kumar.TECHSCIRESEARCH/AppData/Local/Microsoft/Windows/INetCache/Content.Outlook/MJHP96NZ/03-06-2022_TEFR%20Phenol%20Acetone%20Market%202010-204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jaideep.kumar.TECHSCIRESEARCH/Desktop/OPAL%20Final%20Lap/PVC%2020-5/02-05-2022_TEFR%20Phenol%20Acetone%20Market%202010-2040.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jaideep.kumar.TECHSCIRESEARCH/Desktop/OPAL%20Final%20Lap/Revised_TEFR%20Phenol%20Acetone%20Market%202010-204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me"/>
      <sheetName val="Total Cash Flow (Unleveraged)"/>
      <sheetName val="Total cash flow"/>
      <sheetName val="Olefin cash flow"/>
      <sheetName val="LLDPE cash flow"/>
      <sheetName val="HDPE cash flow"/>
      <sheetName val="MEG cash flow"/>
      <sheetName val="Butene-1 cash flow"/>
      <sheetName val="Oxygen"/>
      <sheetName val="Pricing - Current"/>
      <sheetName val="Pricing - Const"/>
      <sheetName val="Netback"/>
      <sheetName val="Mass Balance"/>
      <sheetName val="Purchases &amp; Sales"/>
      <sheetName val="Capital Costs"/>
      <sheetName val="Financing"/>
      <sheetName val="Taxation"/>
      <sheetName val="Expats"/>
      <sheetName val="Factors"/>
      <sheetName val="Backup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
          <cell r="A3" t="str">
            <v>Ethane</v>
          </cell>
          <cell r="B3" t="str">
            <v xml:space="preserve">1.25/MM btu for the first 10 years of commercial operations; escalation at 3% per year </v>
          </cell>
          <cell r="D3" t="str">
            <v>$/ton</v>
          </cell>
          <cell r="E3">
            <v>0</v>
          </cell>
          <cell r="F3">
            <v>61.108654999999999</v>
          </cell>
          <cell r="G3">
            <v>61.108654999999999</v>
          </cell>
          <cell r="H3">
            <v>61.108654999999999</v>
          </cell>
          <cell r="I3">
            <v>61.108654999999999</v>
          </cell>
          <cell r="J3">
            <v>61.108654999999999</v>
          </cell>
          <cell r="K3">
            <v>61.108654999999999</v>
          </cell>
          <cell r="L3">
            <v>61.108654999999999</v>
          </cell>
          <cell r="M3">
            <v>61.108654999999999</v>
          </cell>
          <cell r="N3">
            <v>61.108654999999999</v>
          </cell>
          <cell r="O3">
            <v>61.108654999999999</v>
          </cell>
          <cell r="P3">
            <v>61.108654999999999</v>
          </cell>
          <cell r="Q3">
            <v>61.108654999999999</v>
          </cell>
          <cell r="R3">
            <v>61.108654999999999</v>
          </cell>
          <cell r="S3">
            <v>61.108654999999999</v>
          </cell>
          <cell r="T3">
            <v>61.108654999999999</v>
          </cell>
          <cell r="U3">
            <v>62.941914650000001</v>
          </cell>
          <cell r="V3">
            <v>64.830172089499996</v>
          </cell>
          <cell r="W3">
            <v>66.775077252185</v>
          </cell>
          <cell r="X3">
            <v>68.778329569750554</v>
          </cell>
          <cell r="Y3">
            <v>70.841679456843067</v>
          </cell>
          <cell r="Z3">
            <v>72.96692984054836</v>
          </cell>
          <cell r="AA3">
            <v>75.155937735764809</v>
          </cell>
          <cell r="AB3">
            <v>77.410615867837748</v>
          </cell>
          <cell r="AC3">
            <v>79.732934343872884</v>
          </cell>
          <cell r="AD3">
            <v>82.124922374189069</v>
          </cell>
          <cell r="AE3">
            <v>84.588670045414744</v>
          </cell>
          <cell r="AF3">
            <v>87.126330146777192</v>
          </cell>
          <cell r="AG3">
            <v>89.740120051180511</v>
          </cell>
          <cell r="AH3">
            <v>92.432323652715922</v>
          </cell>
        </row>
        <row r="4">
          <cell r="A4" t="str">
            <v>Methane</v>
          </cell>
          <cell r="B4" t="str">
            <v>0.75/ MM btu for the first 10 years of project life; escalation at 3% per year</v>
          </cell>
          <cell r="D4" t="str">
            <v>$/ton</v>
          </cell>
          <cell r="E4">
            <v>0</v>
          </cell>
          <cell r="F4">
            <v>35.5426407</v>
          </cell>
          <cell r="G4">
            <v>35.5426407</v>
          </cell>
          <cell r="H4">
            <v>35.5426407</v>
          </cell>
          <cell r="I4">
            <v>35.5426407</v>
          </cell>
          <cell r="J4">
            <v>35.5426407</v>
          </cell>
          <cell r="K4">
            <v>35.5426407</v>
          </cell>
          <cell r="L4">
            <v>35.5426407</v>
          </cell>
          <cell r="M4">
            <v>35.5426407</v>
          </cell>
          <cell r="N4">
            <v>35.5426407</v>
          </cell>
          <cell r="O4">
            <v>35.5426407</v>
          </cell>
          <cell r="P4">
            <v>35.5426407</v>
          </cell>
          <cell r="Q4">
            <v>35.5426407</v>
          </cell>
          <cell r="R4">
            <v>36.608919921000002</v>
          </cell>
          <cell r="S4">
            <v>37.707187518630001</v>
          </cell>
          <cell r="T4">
            <v>38.838403144188902</v>
          </cell>
          <cell r="U4">
            <v>40.003555238514572</v>
          </cell>
          <cell r="V4">
            <v>41.20366189567001</v>
          </cell>
          <cell r="W4">
            <v>42.439771752540111</v>
          </cell>
          <cell r="X4">
            <v>43.712964905116316</v>
          </cell>
          <cell r="Y4">
            <v>45.024353852269805</v>
          </cell>
          <cell r="Z4">
            <v>46.375084467837901</v>
          </cell>
          <cell r="AA4">
            <v>47.76633700187304</v>
          </cell>
          <cell r="AB4">
            <v>49.199327111929236</v>
          </cell>
          <cell r="AC4">
            <v>50.675306925287117</v>
          </cell>
          <cell r="AD4">
            <v>52.19556613304573</v>
          </cell>
          <cell r="AE4">
            <v>53.7614331170371</v>
          </cell>
          <cell r="AF4">
            <v>55.374276110548216</v>
          </cell>
          <cell r="AG4">
            <v>57.035504393864663</v>
          </cell>
          <cell r="AH4">
            <v>58.746569525680606</v>
          </cell>
        </row>
        <row r="5">
          <cell r="A5" t="str">
            <v>Catalyst (Ethylene)</v>
          </cell>
          <cell r="B5" t="str">
            <v>2.75 in const 2001</v>
          </cell>
          <cell r="D5" t="str">
            <v>$/ton C2</v>
          </cell>
          <cell r="E5">
            <v>2.75</v>
          </cell>
          <cell r="F5">
            <v>2.8022499999999999</v>
          </cell>
          <cell r="G5">
            <v>2.8654999999999999</v>
          </cell>
          <cell r="H5">
            <v>2.9370000000000003</v>
          </cell>
          <cell r="I5">
            <v>3.01125</v>
          </cell>
          <cell r="J5">
            <v>3.0882499999999999</v>
          </cell>
          <cell r="K5">
            <v>3.1652499999999999</v>
          </cell>
          <cell r="L5">
            <v>3.2422500000000003</v>
          </cell>
          <cell r="M5">
            <v>3.3247500000000003</v>
          </cell>
          <cell r="N5">
            <v>3.4072500000000003</v>
          </cell>
          <cell r="O5">
            <v>3.4925000000000002</v>
          </cell>
          <cell r="P5">
            <v>3.5805000000000002</v>
          </cell>
          <cell r="Q5">
            <v>3.6685000000000003</v>
          </cell>
          <cell r="R5">
            <v>3.7620000000000005</v>
          </cell>
          <cell r="S5">
            <v>3.8554999999999997</v>
          </cell>
          <cell r="T5">
            <v>3.9517500000000001</v>
          </cell>
          <cell r="U5">
            <v>4.0507499999999999</v>
          </cell>
          <cell r="V5">
            <v>4.1524999999999999</v>
          </cell>
          <cell r="W5">
            <v>4.2569999999999997</v>
          </cell>
          <cell r="X5">
            <v>4.3615000000000004</v>
          </cell>
          <cell r="Y5">
            <v>4.4705374999999998</v>
          </cell>
          <cell r="Z5">
            <v>4.5823009375000003</v>
          </cell>
          <cell r="AA5">
            <v>4.6968584609374995</v>
          </cell>
          <cell r="AB5">
            <v>4.8142799224609361</v>
          </cell>
          <cell r="AC5">
            <v>4.9346369205224594</v>
          </cell>
          <cell r="AD5">
            <v>5.0580028435355198</v>
          </cell>
          <cell r="AE5">
            <v>5.1844529146239076</v>
          </cell>
          <cell r="AF5">
            <v>5.3140642374895046</v>
          </cell>
          <cell r="AG5">
            <v>5.4469158434267415</v>
          </cell>
          <cell r="AH5">
            <v>5.5830887395124105</v>
          </cell>
        </row>
        <row r="6">
          <cell r="A6" t="str">
            <v>Power</v>
          </cell>
          <cell r="B6" t="str">
            <v>$30/MWH fixed</v>
          </cell>
          <cell r="C6">
            <v>0.91576190190550455</v>
          </cell>
          <cell r="D6" t="str">
            <v>$/MWH</v>
          </cell>
          <cell r="E6">
            <v>30</v>
          </cell>
          <cell r="F6">
            <v>30</v>
          </cell>
          <cell r="G6">
            <v>30</v>
          </cell>
          <cell r="H6">
            <v>30</v>
          </cell>
          <cell r="I6">
            <v>30</v>
          </cell>
          <cell r="J6">
            <v>30</v>
          </cell>
          <cell r="K6">
            <v>30</v>
          </cell>
          <cell r="L6">
            <v>30</v>
          </cell>
          <cell r="M6">
            <v>30</v>
          </cell>
          <cell r="N6">
            <v>30</v>
          </cell>
          <cell r="O6">
            <v>30</v>
          </cell>
          <cell r="P6">
            <v>30</v>
          </cell>
          <cell r="Q6">
            <v>30</v>
          </cell>
          <cell r="R6">
            <v>30</v>
          </cell>
          <cell r="S6">
            <v>30</v>
          </cell>
          <cell r="T6">
            <v>30</v>
          </cell>
          <cell r="U6">
            <v>30</v>
          </cell>
          <cell r="V6">
            <v>30</v>
          </cell>
          <cell r="W6">
            <v>30</v>
          </cell>
          <cell r="X6">
            <v>30</v>
          </cell>
          <cell r="Y6">
            <v>30</v>
          </cell>
          <cell r="Z6">
            <v>30</v>
          </cell>
          <cell r="AA6">
            <v>30</v>
          </cell>
          <cell r="AB6">
            <v>30</v>
          </cell>
          <cell r="AC6">
            <v>30</v>
          </cell>
          <cell r="AD6">
            <v>30</v>
          </cell>
          <cell r="AE6">
            <v>30</v>
          </cell>
          <cell r="AF6">
            <v>30</v>
          </cell>
          <cell r="AG6">
            <v>30</v>
          </cell>
          <cell r="AH6">
            <v>30</v>
          </cell>
        </row>
        <row r="7">
          <cell r="A7" t="str">
            <v>Steam</v>
          </cell>
          <cell r="B7" t="str">
            <v>$4.5/ton fixed</v>
          </cell>
          <cell r="C7">
            <v>0</v>
          </cell>
          <cell r="D7" t="str">
            <v>$/ton</v>
          </cell>
          <cell r="E7">
            <v>4.5</v>
          </cell>
          <cell r="F7">
            <v>4.5</v>
          </cell>
          <cell r="G7">
            <v>4.5</v>
          </cell>
          <cell r="H7">
            <v>4.5</v>
          </cell>
          <cell r="I7">
            <v>4.5</v>
          </cell>
          <cell r="J7">
            <v>4.5</v>
          </cell>
          <cell r="K7">
            <v>4.5</v>
          </cell>
          <cell r="L7">
            <v>4.5</v>
          </cell>
          <cell r="M7">
            <v>4.5</v>
          </cell>
          <cell r="N7">
            <v>4.5</v>
          </cell>
          <cell r="O7">
            <v>4.5</v>
          </cell>
          <cell r="P7">
            <v>4.5</v>
          </cell>
          <cell r="Q7">
            <v>4.5</v>
          </cell>
          <cell r="R7">
            <v>4.5</v>
          </cell>
          <cell r="S7">
            <v>4.5</v>
          </cell>
          <cell r="T7">
            <v>4.5</v>
          </cell>
          <cell r="U7">
            <v>4.5</v>
          </cell>
          <cell r="V7">
            <v>4.5</v>
          </cell>
          <cell r="W7">
            <v>4.5</v>
          </cell>
          <cell r="X7">
            <v>4.5</v>
          </cell>
          <cell r="Y7">
            <v>4.5</v>
          </cell>
          <cell r="Z7">
            <v>4.5</v>
          </cell>
          <cell r="AA7">
            <v>4.5</v>
          </cell>
          <cell r="AB7">
            <v>4.5</v>
          </cell>
          <cell r="AC7">
            <v>4.5</v>
          </cell>
          <cell r="AD7">
            <v>4.5</v>
          </cell>
          <cell r="AE7">
            <v>4.5</v>
          </cell>
          <cell r="AF7">
            <v>4.5</v>
          </cell>
          <cell r="AG7">
            <v>4.5</v>
          </cell>
          <cell r="AH7">
            <v>4.5</v>
          </cell>
        </row>
        <row r="8">
          <cell r="A8" t="str">
            <v>Cooling Water</v>
          </cell>
          <cell r="B8" t="str">
            <v>$17/kton fixed</v>
          </cell>
          <cell r="C8">
            <v>0</v>
          </cell>
          <cell r="D8" t="str">
            <v>$/kton</v>
          </cell>
          <cell r="E8">
            <v>17</v>
          </cell>
          <cell r="F8">
            <v>17</v>
          </cell>
          <cell r="G8">
            <v>17</v>
          </cell>
          <cell r="H8">
            <v>17</v>
          </cell>
          <cell r="I8">
            <v>17</v>
          </cell>
          <cell r="J8">
            <v>17</v>
          </cell>
          <cell r="K8">
            <v>17</v>
          </cell>
          <cell r="L8">
            <v>17</v>
          </cell>
          <cell r="M8">
            <v>17</v>
          </cell>
          <cell r="N8">
            <v>17</v>
          </cell>
          <cell r="O8">
            <v>17</v>
          </cell>
          <cell r="P8">
            <v>17</v>
          </cell>
          <cell r="Q8">
            <v>17</v>
          </cell>
          <cell r="R8">
            <v>17</v>
          </cell>
          <cell r="S8">
            <v>17</v>
          </cell>
          <cell r="T8">
            <v>17</v>
          </cell>
          <cell r="U8">
            <v>17</v>
          </cell>
          <cell r="V8">
            <v>17</v>
          </cell>
          <cell r="W8">
            <v>17</v>
          </cell>
          <cell r="X8">
            <v>17</v>
          </cell>
          <cell r="Y8">
            <v>17</v>
          </cell>
          <cell r="Z8">
            <v>17</v>
          </cell>
          <cell r="AA8">
            <v>17</v>
          </cell>
          <cell r="AB8">
            <v>17</v>
          </cell>
          <cell r="AC8">
            <v>17</v>
          </cell>
          <cell r="AD8">
            <v>17</v>
          </cell>
          <cell r="AE8">
            <v>17</v>
          </cell>
          <cell r="AF8">
            <v>17</v>
          </cell>
          <cell r="AG8">
            <v>17</v>
          </cell>
          <cell r="AH8">
            <v>17</v>
          </cell>
        </row>
        <row r="9">
          <cell r="A9" t="str">
            <v>Nitrogen</v>
          </cell>
          <cell r="B9" t="str">
            <v>$0.05/std M3</v>
          </cell>
          <cell r="C9">
            <v>0</v>
          </cell>
          <cell r="D9" t="str">
            <v>std M3</v>
          </cell>
          <cell r="E9">
            <v>0.05</v>
          </cell>
          <cell r="F9">
            <v>0.05</v>
          </cell>
          <cell r="G9">
            <v>0.05</v>
          </cell>
          <cell r="H9">
            <v>0.05</v>
          </cell>
          <cell r="I9">
            <v>0.05</v>
          </cell>
          <cell r="J9">
            <v>0.05</v>
          </cell>
          <cell r="K9">
            <v>0.05</v>
          </cell>
          <cell r="L9">
            <v>0.05</v>
          </cell>
          <cell r="M9">
            <v>0.05</v>
          </cell>
          <cell r="N9">
            <v>0.05</v>
          </cell>
          <cell r="O9">
            <v>0.05</v>
          </cell>
          <cell r="P9">
            <v>0.05</v>
          </cell>
          <cell r="Q9">
            <v>0.05</v>
          </cell>
          <cell r="R9">
            <v>0.05</v>
          </cell>
          <cell r="S9">
            <v>0.05</v>
          </cell>
          <cell r="T9">
            <v>0.05</v>
          </cell>
          <cell r="U9">
            <v>0.05</v>
          </cell>
          <cell r="V9">
            <v>0.05</v>
          </cell>
          <cell r="W9">
            <v>0.05</v>
          </cell>
          <cell r="X9">
            <v>0.05</v>
          </cell>
          <cell r="Y9">
            <v>0.05</v>
          </cell>
          <cell r="Z9">
            <v>0.05</v>
          </cell>
          <cell r="AA9">
            <v>0.05</v>
          </cell>
          <cell r="AB9">
            <v>0.05</v>
          </cell>
          <cell r="AC9">
            <v>0.05</v>
          </cell>
          <cell r="AD9">
            <v>0.05</v>
          </cell>
          <cell r="AE9">
            <v>0.05</v>
          </cell>
          <cell r="AF9">
            <v>0.05</v>
          </cell>
          <cell r="AG9">
            <v>0.05</v>
          </cell>
          <cell r="AH9">
            <v>0.05</v>
          </cell>
        </row>
        <row r="10">
          <cell r="A10" t="str">
            <v>Worker</v>
          </cell>
          <cell r="B10" t="str">
            <v>$13000 average, to be escalated by 2.5% per year</v>
          </cell>
          <cell r="C10">
            <v>0</v>
          </cell>
          <cell r="D10" t="str">
            <v>$/yr</v>
          </cell>
          <cell r="E10">
            <v>0</v>
          </cell>
          <cell r="F10">
            <v>0</v>
          </cell>
          <cell r="G10">
            <v>13546</v>
          </cell>
          <cell r="H10">
            <v>14231.099999999999</v>
          </cell>
          <cell r="I10">
            <v>14955.646874999995</v>
          </cell>
          <cell r="J10">
            <v>15721.526234374995</v>
          </cell>
          <cell r="K10">
            <v>16516.352282421867</v>
          </cell>
          <cell r="L10">
            <v>17341.093678974601</v>
          </cell>
          <cell r="M10">
            <v>18226.901454051989</v>
          </cell>
          <cell r="N10">
            <v>19146.161434333892</v>
          </cell>
          <cell r="O10">
            <v>20115.831837888731</v>
          </cell>
          <cell r="P10">
            <v>21138.254629334177</v>
          </cell>
          <cell r="Q10">
            <v>22199.226165453212</v>
          </cell>
          <cell r="R10">
            <v>23334.149122337702</v>
          </cell>
          <cell r="S10">
            <v>24511.943710713003</v>
          </cell>
          <cell r="T10">
            <v>25751.964828888697</v>
          </cell>
          <cell r="U10">
            <v>27057.035697826632</v>
          </cell>
          <cell r="V10">
            <v>28430.093008357882</v>
          </cell>
          <cell r="W10">
            <v>29874.191110173146</v>
          </cell>
          <cell r="X10">
            <v>31372.72530894895</v>
          </cell>
          <cell r="Y10">
            <v>32960.969527714486</v>
          </cell>
          <cell r="Z10">
            <v>34629.618610055033</v>
          </cell>
          <cell r="AA10">
            <v>36382.743052189056</v>
          </cell>
          <cell r="AB10">
            <v>38224.619419206123</v>
          </cell>
          <cell r="AC10">
            <v>40159.740777303421</v>
          </cell>
          <cell r="AD10">
            <v>42192.827654154389</v>
          </cell>
          <cell r="AE10">
            <v>44328.839554145954</v>
          </cell>
          <cell r="AF10">
            <v>46572.987056574588</v>
          </cell>
          <cell r="AG10">
            <v>48930.744526313669</v>
          </cell>
          <cell r="AH10">
            <v>51407.86346795829</v>
          </cell>
        </row>
        <row r="11">
          <cell r="A11" t="str">
            <v>Hydrogen - Reformer</v>
          </cell>
          <cell r="B11" t="str">
            <v>fixed at ratio to methane</v>
          </cell>
          <cell r="C11">
            <v>0</v>
          </cell>
          <cell r="D11" t="str">
            <v>Nm3</v>
          </cell>
          <cell r="E11">
            <v>0</v>
          </cell>
          <cell r="G11">
            <v>0.63846274691357874</v>
          </cell>
          <cell r="H11">
            <v>0.63846274691357874</v>
          </cell>
          <cell r="I11">
            <v>0.63846274691357874</v>
          </cell>
          <cell r="J11">
            <v>0.63846274691357874</v>
          </cell>
          <cell r="K11">
            <v>0.63846274691357874</v>
          </cell>
          <cell r="L11">
            <v>0.63846274691357874</v>
          </cell>
          <cell r="M11">
            <v>0.63846274691357874</v>
          </cell>
          <cell r="N11">
            <v>0.63846274691357874</v>
          </cell>
          <cell r="O11">
            <v>0.63846274691357874</v>
          </cell>
          <cell r="P11">
            <v>0.63846274691357874</v>
          </cell>
          <cell r="Q11">
            <v>0.63846274691357874</v>
          </cell>
          <cell r="R11">
            <v>0.65761662932098619</v>
          </cell>
          <cell r="S11">
            <v>0.67734512820061576</v>
          </cell>
          <cell r="T11">
            <v>0.69766548204663426</v>
          </cell>
          <cell r="U11">
            <v>0.71859544650803331</v>
          </cell>
          <cell r="V11">
            <v>0.74015330990327433</v>
          </cell>
          <cell r="W11">
            <v>0.76235790920037261</v>
          </cell>
          <cell r="X11">
            <v>0.7852286464763838</v>
          </cell>
          <cell r="Y11">
            <v>0.80878550587067533</v>
          </cell>
          <cell r="Z11">
            <v>0.8330490710467956</v>
          </cell>
          <cell r="AA11">
            <v>0.85804054317819944</v>
          </cell>
          <cell r="AB11">
            <v>0.88378175947354554</v>
          </cell>
          <cell r="AC11">
            <v>0.91029521225775201</v>
          </cell>
          <cell r="AD11">
            <v>0.93760406862548451</v>
          </cell>
          <cell r="AE11">
            <v>0.96573219068424909</v>
          </cell>
          <cell r="AF11">
            <v>0.99470415640477661</v>
          </cell>
          <cell r="AG11">
            <v>1.0245452810969198</v>
          </cell>
          <cell r="AH11">
            <v>1.0552816395298275</v>
          </cell>
        </row>
        <row r="12">
          <cell r="A12" t="str">
            <v>Propylene</v>
          </cell>
          <cell r="B12" t="str">
            <v>methane * 0.9157</v>
          </cell>
          <cell r="C12">
            <v>0</v>
          </cell>
          <cell r="D12" t="str">
            <v>$/ton</v>
          </cell>
          <cell r="E12">
            <v>0</v>
          </cell>
          <cell r="F12">
            <v>32.548596246176011</v>
          </cell>
          <cell r="G12">
            <v>32.548596246176011</v>
          </cell>
          <cell r="H12">
            <v>32.548596246176011</v>
          </cell>
          <cell r="I12">
            <v>32.548596246176011</v>
          </cell>
          <cell r="J12">
            <v>32.548596246176011</v>
          </cell>
          <cell r="K12">
            <v>32.548596246176011</v>
          </cell>
          <cell r="L12">
            <v>32.548596246176011</v>
          </cell>
          <cell r="M12">
            <v>32.548596246176011</v>
          </cell>
          <cell r="N12">
            <v>32.548596246176011</v>
          </cell>
          <cell r="O12">
            <v>32.548596246176011</v>
          </cell>
          <cell r="P12">
            <v>32.548596246176011</v>
          </cell>
          <cell r="Q12">
            <v>32.548596246176011</v>
          </cell>
          <cell r="R12">
            <v>33.525054133561291</v>
          </cell>
          <cell r="S12">
            <v>34.530805757568132</v>
          </cell>
          <cell r="T12">
            <v>35.566729930295175</v>
          </cell>
          <cell r="U12">
            <v>36.633731828204034</v>
          </cell>
          <cell r="V12">
            <v>37.732743783050154</v>
          </cell>
          <cell r="W12">
            <v>38.864726096541659</v>
          </cell>
          <cell r="X12">
            <v>40.030667879437907</v>
          </cell>
          <cell r="Y12">
            <v>41.231587915821045</v>
          </cell>
          <cell r="Z12">
            <v>42.468535553295681</v>
          </cell>
          <cell r="AA12">
            <v>43.742591619894554</v>
          </cell>
          <cell r="AB12">
            <v>45.054869368491396</v>
          </cell>
          <cell r="AC12">
            <v>46.406515449546141</v>
          </cell>
          <cell r="AD12">
            <v>47.798710913032522</v>
          </cell>
          <cell r="AE12">
            <v>49.232672240423497</v>
          </cell>
          <cell r="AF12">
            <v>50.709652407636206</v>
          </cell>
          <cell r="AG12">
            <v>52.230941979865293</v>
          </cell>
          <cell r="AH12">
            <v>53.79787023926125</v>
          </cell>
        </row>
        <row r="13">
          <cell r="A13" t="str">
            <v>Catalyst (LLDPE)</v>
          </cell>
          <cell r="B13">
            <v>0</v>
          </cell>
          <cell r="C13">
            <v>0</v>
          </cell>
          <cell r="D13" t="str">
            <v>$/ton LLDPE</v>
          </cell>
          <cell r="E13">
            <v>19.013865573983026</v>
          </cell>
          <cell r="F13">
            <v>19.3751290198887</v>
          </cell>
          <cell r="G13">
            <v>19.812447928090315</v>
          </cell>
          <cell r="H13">
            <v>20.306808433013874</v>
          </cell>
          <cell r="I13">
            <v>20.820182803511411</v>
          </cell>
          <cell r="J13">
            <v>21.352571039582937</v>
          </cell>
          <cell r="K13">
            <v>21.884959275654463</v>
          </cell>
          <cell r="L13">
            <v>22.417347511725989</v>
          </cell>
          <cell r="M13">
            <v>22.987763478945478</v>
          </cell>
          <cell r="N13">
            <v>23.558179446164971</v>
          </cell>
          <cell r="O13">
            <v>24.147609278958441</v>
          </cell>
          <cell r="P13">
            <v>24.756052977325901</v>
          </cell>
          <cell r="Q13">
            <v>25.364496675693356</v>
          </cell>
          <cell r="R13">
            <v>26.010968105208782</v>
          </cell>
          <cell r="S13">
            <v>26.657439534724201</v>
          </cell>
          <cell r="T13">
            <v>27.322924829813608</v>
          </cell>
          <cell r="U13">
            <v>28.007423990476997</v>
          </cell>
          <cell r="V13">
            <v>28.710937016714368</v>
          </cell>
          <cell r="W13">
            <v>29.433463908525724</v>
          </cell>
          <cell r="X13">
            <v>30.155990800337079</v>
          </cell>
          <cell r="Y13">
            <v>30.909890570345507</v>
          </cell>
          <cell r="Z13">
            <v>31.682637834604144</v>
          </cell>
          <cell r="AA13">
            <v>32.474703780469241</v>
          </cell>
          <cell r="AB13">
            <v>33.286571374980966</v>
          </cell>
          <cell r="AC13">
            <v>34.118735659355487</v>
          </cell>
          <cell r="AD13">
            <v>34.971704050839371</v>
          </cell>
          <cell r="AE13">
            <v>35.845996652110351</v>
          </cell>
          <cell r="AF13">
            <v>36.742146568413105</v>
          </cell>
          <cell r="AG13">
            <v>37.660700232623434</v>
          </cell>
          <cell r="AH13">
            <v>38.602217738439016</v>
          </cell>
        </row>
        <row r="14">
          <cell r="A14" t="str">
            <v>Ethylene (Transfer)</v>
          </cell>
          <cell r="B14">
            <v>0</v>
          </cell>
          <cell r="C14">
            <v>0</v>
          </cell>
          <cell r="D14" t="str">
            <v>$/ton</v>
          </cell>
          <cell r="E14">
            <v>0</v>
          </cell>
          <cell r="F14">
            <v>0</v>
          </cell>
          <cell r="G14">
            <v>0</v>
          </cell>
          <cell r="H14">
            <v>0</v>
          </cell>
          <cell r="I14">
            <v>0</v>
          </cell>
          <cell r="J14">
            <v>329.38502610927588</v>
          </cell>
          <cell r="K14">
            <v>331.98766118099729</v>
          </cell>
          <cell r="L14">
            <v>333.97305245152791</v>
          </cell>
          <cell r="M14">
            <v>336.67711703416199</v>
          </cell>
          <cell r="N14">
            <v>339.24092101481102</v>
          </cell>
          <cell r="O14">
            <v>345.2097862522661</v>
          </cell>
          <cell r="P14">
            <v>350.41465571815678</v>
          </cell>
          <cell r="Q14">
            <v>355.82306669261396</v>
          </cell>
          <cell r="R14">
            <v>361.4449983878863</v>
          </cell>
          <cell r="S14">
            <v>366.26042526646603</v>
          </cell>
          <cell r="T14">
            <v>372.2487955777944</v>
          </cell>
          <cell r="U14">
            <v>378.21541400097635</v>
          </cell>
          <cell r="V14">
            <v>384.45712027367603</v>
          </cell>
          <cell r="W14">
            <v>390.85150621425839</v>
          </cell>
          <cell r="X14">
            <v>397.14533435843288</v>
          </cell>
          <cell r="Y14">
            <v>403.69073189653864</v>
          </cell>
          <cell r="Z14">
            <v>410.3151834775756</v>
          </cell>
          <cell r="AA14">
            <v>417.01855093022908</v>
          </cell>
          <cell r="AB14">
            <v>423.80063976584171</v>
          </cell>
          <cell r="AC14">
            <v>430.66119644890358</v>
          </cell>
          <cell r="AD14">
            <v>437.59990556626491</v>
          </cell>
          <cell r="AE14">
            <v>444.61638689171377</v>
          </cell>
          <cell r="AF14">
            <v>451.71019234245614</v>
          </cell>
          <cell r="AG14">
            <v>458.88080282392832</v>
          </cell>
          <cell r="AH14">
            <v>466.12762495926012</v>
          </cell>
        </row>
        <row r="15">
          <cell r="A15" t="str">
            <v>Ethylene (Market)</v>
          </cell>
          <cell r="B15">
            <v>0</v>
          </cell>
          <cell r="C15">
            <v>0</v>
          </cell>
          <cell r="D15" t="str">
            <v>$/ton</v>
          </cell>
          <cell r="E15">
            <v>398.51430960387404</v>
          </cell>
          <cell r="F15">
            <v>341.31615941915805</v>
          </cell>
          <cell r="G15">
            <v>323.48703635073281</v>
          </cell>
          <cell r="H15">
            <v>328.45511575313981</v>
          </cell>
          <cell r="I15">
            <v>324.99663286028039</v>
          </cell>
          <cell r="J15">
            <v>328.8320182764931</v>
          </cell>
          <cell r="K15">
            <v>333.1038628266981</v>
          </cell>
          <cell r="L15">
            <v>336.94363671606953</v>
          </cell>
          <cell r="M15">
            <v>341.46148192391337</v>
          </cell>
          <cell r="N15">
            <v>345.88114471036766</v>
          </cell>
          <cell r="O15">
            <v>352.77185037658626</v>
          </cell>
          <cell r="P15">
            <v>359.21525900270967</v>
          </cell>
          <cell r="Q15">
            <v>365.8011466848298</v>
          </cell>
          <cell r="R15">
            <v>372.7114988715204</v>
          </cell>
          <cell r="S15">
            <v>379.05729768652617</v>
          </cell>
          <cell r="T15">
            <v>386.31165690445602</v>
          </cell>
          <cell r="U15">
            <v>393.63828980068342</v>
          </cell>
          <cell r="V15">
            <v>401.24498419157317</v>
          </cell>
          <cell r="W15">
            <v>409.04605434998081</v>
          </cell>
          <cell r="X15">
            <v>416.77673405090297</v>
          </cell>
          <cell r="Y15">
            <v>424.82788732757706</v>
          </cell>
          <cell r="Z15">
            <v>433.02111280930291</v>
          </cell>
          <cell r="AA15">
            <v>441.35848213553533</v>
          </cell>
          <cell r="AB15">
            <v>449.84208173257349</v>
          </cell>
          <cell r="AC15">
            <v>458.47401225812894</v>
          </cell>
          <cell r="AD15">
            <v>467.25638800887924</v>
          </cell>
          <cell r="AE15">
            <v>476.19133628950573</v>
          </cell>
          <cell r="AF15">
            <v>485.28099674165804</v>
          </cell>
          <cell r="AG15">
            <v>494.52752063123705</v>
          </cell>
          <cell r="AH15">
            <v>503.93307009233149</v>
          </cell>
        </row>
        <row r="16">
          <cell r="A16" t="str">
            <v>Ethylene (NWE)</v>
          </cell>
          <cell r="B16">
            <v>0</v>
          </cell>
          <cell r="C16">
            <v>0</v>
          </cell>
          <cell r="D16" t="str">
            <v>$/ton</v>
          </cell>
          <cell r="E16">
            <v>569.30615657696296</v>
          </cell>
          <cell r="F16">
            <v>487.5945134559401</v>
          </cell>
          <cell r="G16">
            <v>462.12433764390397</v>
          </cell>
          <cell r="H16">
            <v>469.22159393305691</v>
          </cell>
          <cell r="I16">
            <v>464.2809040861149</v>
          </cell>
          <cell r="J16">
            <v>469.76002610927588</v>
          </cell>
          <cell r="K16">
            <v>475.86266118099729</v>
          </cell>
          <cell r="L16">
            <v>481.34805245152791</v>
          </cell>
          <cell r="M16">
            <v>487.80211703416199</v>
          </cell>
          <cell r="N16">
            <v>494.11592101481102</v>
          </cell>
          <cell r="O16">
            <v>503.9597862522661</v>
          </cell>
          <cell r="P16">
            <v>513.16465571815672</v>
          </cell>
          <cell r="Q16">
            <v>522.57306669261402</v>
          </cell>
          <cell r="R16">
            <v>532.44499838788636</v>
          </cell>
          <cell r="S16">
            <v>541.51042526646597</v>
          </cell>
          <cell r="T16">
            <v>551.87379557779445</v>
          </cell>
          <cell r="U16">
            <v>562.34041400097635</v>
          </cell>
          <cell r="V16">
            <v>573.20712027367597</v>
          </cell>
          <cell r="W16">
            <v>584.35150621425839</v>
          </cell>
          <cell r="X16">
            <v>595.39533435843293</v>
          </cell>
          <cell r="Y16">
            <v>606.89698189653859</v>
          </cell>
          <cell r="Z16">
            <v>618.60158972757563</v>
          </cell>
          <cell r="AA16">
            <v>630.51211733647904</v>
          </cell>
          <cell r="AB16">
            <v>642.63154533224792</v>
          </cell>
          <cell r="AC16">
            <v>654.96287465446994</v>
          </cell>
          <cell r="AD16">
            <v>667.50912572697041</v>
          </cell>
          <cell r="AE16">
            <v>680.27333755643679</v>
          </cell>
          <cell r="AF16">
            <v>693.25856677379727</v>
          </cell>
          <cell r="AG16">
            <v>706.46788661605297</v>
          </cell>
          <cell r="AH16">
            <v>719.90438584618789</v>
          </cell>
        </row>
        <row r="17">
          <cell r="A17" t="str">
            <v>Butene-1 (Transfer)</v>
          </cell>
          <cell r="B17">
            <v>1</v>
          </cell>
          <cell r="C17" t="str">
            <v>* NWE</v>
          </cell>
          <cell r="D17" t="str">
            <v>$/ton</v>
          </cell>
          <cell r="E17">
            <v>850</v>
          </cell>
          <cell r="F17">
            <v>790.74399999999991</v>
          </cell>
          <cell r="G17">
            <v>762.74400000000003</v>
          </cell>
          <cell r="H17">
            <v>774.30000000000007</v>
          </cell>
          <cell r="I17">
            <v>771.97500000000002</v>
          </cell>
          <cell r="J17">
            <v>781.60799999999995</v>
          </cell>
          <cell r="K17">
            <v>791.88800000000003</v>
          </cell>
          <cell r="L17">
            <v>801.72</v>
          </cell>
          <cell r="M17">
            <v>813.65700000000004</v>
          </cell>
          <cell r="N17">
            <v>825.17400000000009</v>
          </cell>
          <cell r="O17">
            <v>840.74</v>
          </cell>
          <cell r="P17">
            <v>855.41399999999999</v>
          </cell>
          <cell r="Q17">
            <v>869.76800000000003</v>
          </cell>
          <cell r="R17">
            <v>886.46400000000006</v>
          </cell>
          <cell r="S17">
            <v>901.48599999999999</v>
          </cell>
          <cell r="T17">
            <v>918.24300000000005</v>
          </cell>
          <cell r="U17">
            <v>933.88200000000006</v>
          </cell>
          <cell r="V17">
            <v>952.81000000000006</v>
          </cell>
          <cell r="W17">
            <v>970.596</v>
          </cell>
          <cell r="X17">
            <v>988.07800000000009</v>
          </cell>
          <cell r="Y17">
            <v>1006.2773500000001</v>
          </cell>
          <cell r="Z17">
            <v>1024.76911875</v>
          </cell>
          <cell r="AA17">
            <v>1043.55655259375</v>
          </cell>
          <cell r="AB17">
            <v>1062.6428774304684</v>
          </cell>
          <cell r="AC17">
            <v>1082.0312956636519</v>
          </cell>
          <cell r="AD17">
            <v>1101.7249830101005</v>
          </cell>
          <cell r="AE17">
            <v>1121.7270851640817</v>
          </cell>
          <cell r="AF17">
            <v>1142.0407143113807</v>
          </cell>
          <cell r="AG17">
            <v>1162.6689454878172</v>
          </cell>
          <cell r="AH17">
            <v>1183.614812776631</v>
          </cell>
        </row>
        <row r="18">
          <cell r="A18" t="str">
            <v>Butene-1 (Market)</v>
          </cell>
          <cell r="B18">
            <v>1</v>
          </cell>
          <cell r="C18" t="str">
            <v>* NWE</v>
          </cell>
          <cell r="D18" t="str">
            <v>$/ton</v>
          </cell>
          <cell r="E18">
            <v>730</v>
          </cell>
          <cell r="F18">
            <v>668.46399999999994</v>
          </cell>
          <cell r="G18">
            <v>637.70400000000006</v>
          </cell>
          <cell r="H18">
            <v>646.14</v>
          </cell>
          <cell r="I18">
            <v>640.57499999999993</v>
          </cell>
          <cell r="J18">
            <v>646.84799999999996</v>
          </cell>
          <cell r="K18">
            <v>653.76800000000003</v>
          </cell>
          <cell r="L18">
            <v>660.24</v>
          </cell>
          <cell r="M18">
            <v>668.577</v>
          </cell>
          <cell r="N18">
            <v>676.49400000000003</v>
          </cell>
          <cell r="O18">
            <v>688.34</v>
          </cell>
          <cell r="P18">
            <v>699.17399999999998</v>
          </cell>
          <cell r="Q18">
            <v>709.68799999999999</v>
          </cell>
          <cell r="R18">
            <v>722.30400000000009</v>
          </cell>
          <cell r="S18">
            <v>733.24599999999998</v>
          </cell>
          <cell r="T18">
            <v>745.803</v>
          </cell>
          <cell r="U18">
            <v>757.12200000000007</v>
          </cell>
          <cell r="V18">
            <v>771.61</v>
          </cell>
          <cell r="W18">
            <v>784.83600000000001</v>
          </cell>
          <cell r="X18">
            <v>797.75800000000004</v>
          </cell>
          <cell r="Y18">
            <v>811.19934999999998</v>
          </cell>
          <cell r="Z18">
            <v>824.81416875000002</v>
          </cell>
          <cell r="AA18">
            <v>838.6027288437499</v>
          </cell>
          <cell r="AB18">
            <v>852.56520808671848</v>
          </cell>
          <cell r="AC18">
            <v>866.70168458630826</v>
          </cell>
          <cell r="AD18">
            <v>881.01213165582328</v>
          </cell>
          <cell r="AE18">
            <v>895.49641252594768</v>
          </cell>
          <cell r="AF18">
            <v>910.15427485729333</v>
          </cell>
          <cell r="AG18">
            <v>924.98534504737756</v>
          </cell>
          <cell r="AH18">
            <v>939.98912232518035</v>
          </cell>
        </row>
        <row r="19">
          <cell r="A19" t="str">
            <v>Butene-1 (NWE)</v>
          </cell>
          <cell r="B19">
            <v>0</v>
          </cell>
          <cell r="C19">
            <v>0</v>
          </cell>
          <cell r="D19" t="str">
            <v>$/ton</v>
          </cell>
          <cell r="E19">
            <v>730</v>
          </cell>
          <cell r="F19">
            <v>668.46399999999994</v>
          </cell>
          <cell r="G19">
            <v>637.70400000000006</v>
          </cell>
          <cell r="H19">
            <v>646.14</v>
          </cell>
          <cell r="I19">
            <v>640.57499999999993</v>
          </cell>
          <cell r="J19">
            <v>646.84799999999996</v>
          </cell>
          <cell r="K19">
            <v>653.76800000000003</v>
          </cell>
          <cell r="L19">
            <v>660.24</v>
          </cell>
          <cell r="M19">
            <v>668.577</v>
          </cell>
          <cell r="N19">
            <v>676.49400000000003</v>
          </cell>
          <cell r="O19">
            <v>688.34</v>
          </cell>
          <cell r="P19">
            <v>699.17399999999998</v>
          </cell>
          <cell r="Q19">
            <v>709.68799999999999</v>
          </cell>
          <cell r="R19">
            <v>722.30400000000009</v>
          </cell>
          <cell r="S19">
            <v>733.24599999999998</v>
          </cell>
          <cell r="T19">
            <v>745.803</v>
          </cell>
          <cell r="U19">
            <v>757.12200000000007</v>
          </cell>
          <cell r="V19">
            <v>771.61</v>
          </cell>
          <cell r="W19">
            <v>784.83600000000001</v>
          </cell>
          <cell r="X19">
            <v>797.75800000000004</v>
          </cell>
          <cell r="Y19">
            <v>811.19934999999998</v>
          </cell>
          <cell r="Z19">
            <v>824.81416875000002</v>
          </cell>
          <cell r="AA19">
            <v>838.6027288437499</v>
          </cell>
          <cell r="AB19">
            <v>852.56520808671848</v>
          </cell>
          <cell r="AC19">
            <v>866.70168458630826</v>
          </cell>
          <cell r="AD19">
            <v>881.01213165582328</v>
          </cell>
          <cell r="AE19">
            <v>895.49641252594768</v>
          </cell>
          <cell r="AF19">
            <v>910.15427485729333</v>
          </cell>
          <cell r="AG19">
            <v>924.98534504737756</v>
          </cell>
          <cell r="AH19">
            <v>939.98912232518035</v>
          </cell>
        </row>
        <row r="20">
          <cell r="A20" t="str">
            <v>Catalyst (HDPE)</v>
          </cell>
          <cell r="B20">
            <v>0</v>
          </cell>
          <cell r="C20">
            <v>0</v>
          </cell>
          <cell r="D20" t="str">
            <v>$/ton HDPE</v>
          </cell>
          <cell r="E20">
            <v>19.013865573983026</v>
          </cell>
          <cell r="F20">
            <v>19.3751290198887</v>
          </cell>
          <cell r="G20">
            <v>19.812447928090315</v>
          </cell>
          <cell r="H20">
            <v>20.306808433013874</v>
          </cell>
          <cell r="I20">
            <v>20.820182803511411</v>
          </cell>
          <cell r="J20">
            <v>21.352571039582937</v>
          </cell>
          <cell r="K20">
            <v>21.884959275654463</v>
          </cell>
          <cell r="L20">
            <v>22.417347511725989</v>
          </cell>
          <cell r="M20">
            <v>22.987763478945478</v>
          </cell>
          <cell r="N20">
            <v>23.558179446164971</v>
          </cell>
          <cell r="O20">
            <v>24.147609278958441</v>
          </cell>
          <cell r="P20">
            <v>24.756052977325901</v>
          </cell>
          <cell r="Q20">
            <v>25.364496675693356</v>
          </cell>
          <cell r="R20">
            <v>26.010968105208782</v>
          </cell>
          <cell r="S20">
            <v>26.657439534724201</v>
          </cell>
          <cell r="T20">
            <v>27.322924829813608</v>
          </cell>
          <cell r="U20">
            <v>28.007423990476997</v>
          </cell>
          <cell r="V20">
            <v>28.710937016714368</v>
          </cell>
          <cell r="W20">
            <v>29.433463908525724</v>
          </cell>
          <cell r="X20">
            <v>30.155990800337079</v>
          </cell>
          <cell r="Y20">
            <v>30.909890570345507</v>
          </cell>
          <cell r="Z20">
            <v>31.682637834604144</v>
          </cell>
          <cell r="AA20">
            <v>32.474703780469241</v>
          </cell>
          <cell r="AB20">
            <v>33.286571374980966</v>
          </cell>
          <cell r="AC20">
            <v>34.118735659355487</v>
          </cell>
          <cell r="AD20">
            <v>34.971704050839371</v>
          </cell>
          <cell r="AE20">
            <v>35.845996652110351</v>
          </cell>
          <cell r="AF20">
            <v>36.742146568413105</v>
          </cell>
          <cell r="AG20">
            <v>37.660700232623434</v>
          </cell>
          <cell r="AH20">
            <v>38.602217738439016</v>
          </cell>
        </row>
        <row r="21">
          <cell r="A21" t="str">
            <v>Catalyst (MEG)</v>
          </cell>
          <cell r="B21">
            <v>0</v>
          </cell>
          <cell r="C21">
            <v>0</v>
          </cell>
          <cell r="D21" t="str">
            <v>$/ton MEG</v>
          </cell>
          <cell r="E21">
            <v>11.863442766503693</v>
          </cell>
          <cell r="F21">
            <v>12.088848179067263</v>
          </cell>
          <cell r="G21">
            <v>12.361707362696849</v>
          </cell>
          <cell r="H21">
            <v>12.670156874625945</v>
          </cell>
          <cell r="I21">
            <v>12.990469829321544</v>
          </cell>
          <cell r="J21">
            <v>13.322646226783649</v>
          </cell>
          <cell r="K21">
            <v>13.654822624245751</v>
          </cell>
          <cell r="L21">
            <v>13.986999021707856</v>
          </cell>
          <cell r="M21">
            <v>14.342902304702966</v>
          </cell>
          <cell r="N21">
            <v>14.698805587698077</v>
          </cell>
          <cell r="O21">
            <v>15.066572313459691</v>
          </cell>
          <cell r="P21">
            <v>15.446202481987809</v>
          </cell>
          <cell r="Q21">
            <v>15.825832650515927</v>
          </cell>
          <cell r="R21">
            <v>16.229189704577053</v>
          </cell>
          <cell r="S21">
            <v>16.632546758638178</v>
          </cell>
          <cell r="T21">
            <v>17.047767255465807</v>
          </cell>
          <cell r="U21">
            <v>17.474851195059941</v>
          </cell>
          <cell r="V21">
            <v>17.913798577420579</v>
          </cell>
          <cell r="W21">
            <v>18.364609402547718</v>
          </cell>
          <cell r="X21">
            <v>18.81542022767486</v>
          </cell>
          <cell r="Y21">
            <v>19.285805733366729</v>
          </cell>
          <cell r="Z21">
            <v>19.767950876700898</v>
          </cell>
          <cell r="AA21">
            <v>20.262149648618418</v>
          </cell>
          <cell r="AB21">
            <v>20.768703389833874</v>
          </cell>
          <cell r="AC21">
            <v>21.28792097457972</v>
          </cell>
          <cell r="AD21">
            <v>21.82011899894421</v>
          </cell>
          <cell r="AE21">
            <v>22.365621973917811</v>
          </cell>
          <cell r="AF21">
            <v>22.924762523265755</v>
          </cell>
          <cell r="AG21">
            <v>23.497881586347397</v>
          </cell>
          <cell r="AH21">
            <v>24.085328626006081</v>
          </cell>
        </row>
        <row r="22">
          <cell r="A22" t="str">
            <v>Oxygen</v>
          </cell>
          <cell r="B22">
            <v>0</v>
          </cell>
          <cell r="C22">
            <v>0</v>
          </cell>
          <cell r="D22" t="str">
            <v>$/ton</v>
          </cell>
          <cell r="E22">
            <v>57.534934556052903</v>
          </cell>
          <cell r="F22">
            <v>58.628098312617901</v>
          </cell>
          <cell r="G22">
            <v>59.95140180740713</v>
          </cell>
          <cell r="H22">
            <v>61.447310105864503</v>
          </cell>
          <cell r="I22">
            <v>63.000753338877928</v>
          </cell>
          <cell r="J22">
            <v>64.611731506447413</v>
          </cell>
          <cell r="K22">
            <v>66.222709674016897</v>
          </cell>
          <cell r="L22">
            <v>67.833687841586382</v>
          </cell>
          <cell r="M22">
            <v>69.559735878267958</v>
          </cell>
          <cell r="N22">
            <v>71.285783914949548</v>
          </cell>
          <cell r="O22">
            <v>73.069366886187183</v>
          </cell>
          <cell r="P22">
            <v>74.910484791980878</v>
          </cell>
          <cell r="Q22">
            <v>76.751602697774572</v>
          </cell>
          <cell r="R22">
            <v>78.707790472680372</v>
          </cell>
          <cell r="S22">
            <v>80.663978247586172</v>
          </cell>
          <cell r="T22">
            <v>82.677700957048032</v>
          </cell>
          <cell r="U22">
            <v>84.748958601065937</v>
          </cell>
          <cell r="V22">
            <v>86.877751179639887</v>
          </cell>
          <cell r="W22">
            <v>89.064078692769897</v>
          </cell>
          <cell r="X22">
            <v>91.250406205899907</v>
          </cell>
          <cell r="Y22">
            <v>93.5316663610474</v>
          </cell>
          <cell r="Z22">
            <v>95.869958020073582</v>
          </cell>
          <cell r="AA22">
            <v>98.266706970575413</v>
          </cell>
          <cell r="AB22">
            <v>100.72337464483978</v>
          </cell>
          <cell r="AC22">
            <v>103.24145901096077</v>
          </cell>
          <cell r="AD22">
            <v>105.82249548623477</v>
          </cell>
          <cell r="AE22">
            <v>108.46805787339063</v>
          </cell>
          <cell r="AF22">
            <v>111.17975932022539</v>
          </cell>
          <cell r="AG22">
            <v>113.95925330323101</v>
          </cell>
          <cell r="AH22">
            <v>116.80823463581179</v>
          </cell>
        </row>
        <row r="23">
          <cell r="A23" t="str">
            <v>DEG (Export)</v>
          </cell>
          <cell r="B23">
            <v>0</v>
          </cell>
          <cell r="C23">
            <v>0</v>
          </cell>
          <cell r="D23" t="str">
            <v>$/ton</v>
          </cell>
          <cell r="E23">
            <v>504.83590781180197</v>
          </cell>
          <cell r="F23">
            <v>525.26493238830369</v>
          </cell>
          <cell r="G23">
            <v>511.1429950318842</v>
          </cell>
          <cell r="H23">
            <v>519.5322865147424</v>
          </cell>
          <cell r="I23">
            <v>519.45336652409947</v>
          </cell>
          <cell r="J23">
            <v>527.48423267330827</v>
          </cell>
          <cell r="K23">
            <v>535.81937067579418</v>
          </cell>
          <cell r="L23">
            <v>543.76656194907991</v>
          </cell>
          <cell r="M23">
            <v>552.63609839389346</v>
          </cell>
          <cell r="N23">
            <v>561.39422867079998</v>
          </cell>
          <cell r="O23">
            <v>572.62852509793129</v>
          </cell>
          <cell r="P23">
            <v>583.66178099870785</v>
          </cell>
          <cell r="Q23">
            <v>594.76568403862029</v>
          </cell>
          <cell r="R23">
            <v>606.5259976347561</v>
          </cell>
          <cell r="S23">
            <v>617.76665198466219</v>
          </cell>
          <cell r="T23">
            <v>629.93009282937396</v>
          </cell>
          <cell r="U23">
            <v>642.31830778980031</v>
          </cell>
          <cell r="V23">
            <v>655.10274662130405</v>
          </cell>
          <cell r="W23">
            <v>668.21055789510513</v>
          </cell>
          <cell r="X23">
            <v>681.20914660611277</v>
          </cell>
          <cell r="Y23">
            <v>694.7671031579639</v>
          </cell>
          <cell r="Z23">
            <v>708.59490075170015</v>
          </cell>
          <cell r="AA23">
            <v>722.69790997451935</v>
          </cell>
          <cell r="AB23">
            <v>737.08160830324073</v>
          </cell>
          <cell r="AC23">
            <v>751.75158223170615</v>
          </cell>
          <cell r="AD23">
            <v>766.7135294405216</v>
          </cell>
          <cell r="AE23">
            <v>781.97326100998271</v>
          </cell>
          <cell r="AF23">
            <v>797.53670367704513</v>
          </cell>
          <cell r="AG23">
            <v>813.40990213721238</v>
          </cell>
          <cell r="AH23">
            <v>829.59902139223982</v>
          </cell>
        </row>
        <row r="24">
          <cell r="A24" t="str">
            <v>TEG (Export)</v>
          </cell>
          <cell r="B24">
            <v>0</v>
          </cell>
          <cell r="C24">
            <v>0</v>
          </cell>
          <cell r="D24" t="str">
            <v>$/ton</v>
          </cell>
          <cell r="E24">
            <v>504.83590781180197</v>
          </cell>
          <cell r="F24">
            <v>525.26493238830369</v>
          </cell>
          <cell r="G24">
            <v>511.1429950318842</v>
          </cell>
          <cell r="H24">
            <v>519.5322865147424</v>
          </cell>
          <cell r="I24">
            <v>519.45336652409947</v>
          </cell>
          <cell r="J24">
            <v>527.48423267330827</v>
          </cell>
          <cell r="K24">
            <v>535.81937067579418</v>
          </cell>
          <cell r="L24">
            <v>543.76656194907991</v>
          </cell>
          <cell r="M24">
            <v>552.63609839389346</v>
          </cell>
          <cell r="N24">
            <v>561.39422867079998</v>
          </cell>
          <cell r="O24">
            <v>572.62852509793129</v>
          </cell>
          <cell r="P24">
            <v>583.66178099870785</v>
          </cell>
          <cell r="Q24">
            <v>594.76568403862029</v>
          </cell>
          <cell r="R24">
            <v>606.5259976347561</v>
          </cell>
          <cell r="S24">
            <v>617.76665198466219</v>
          </cell>
          <cell r="T24">
            <v>629.93009282937396</v>
          </cell>
          <cell r="U24">
            <v>642.31830778980031</v>
          </cell>
          <cell r="V24">
            <v>655.10274662130405</v>
          </cell>
          <cell r="W24">
            <v>668.21055789510513</v>
          </cell>
          <cell r="X24">
            <v>681.20914660611277</v>
          </cell>
          <cell r="Y24">
            <v>694.7671031579639</v>
          </cell>
          <cell r="Z24">
            <v>708.59490075170015</v>
          </cell>
          <cell r="AA24">
            <v>722.69790997451935</v>
          </cell>
          <cell r="AB24">
            <v>737.08160830324073</v>
          </cell>
          <cell r="AC24">
            <v>751.75158223170615</v>
          </cell>
          <cell r="AD24">
            <v>766.7135294405216</v>
          </cell>
          <cell r="AE24">
            <v>781.97326100998271</v>
          </cell>
          <cell r="AF24">
            <v>797.53670367704513</v>
          </cell>
          <cell r="AG24">
            <v>813.40990213721238</v>
          </cell>
          <cell r="AH24">
            <v>829.59902139223982</v>
          </cell>
        </row>
        <row r="25">
          <cell r="A25" t="str">
            <v>Oxygen (Internal)</v>
          </cell>
          <cell r="B25" t="str">
            <v>Direct into Current</v>
          </cell>
          <cell r="C25">
            <v>2</v>
          </cell>
          <cell r="D25" t="str">
            <v>$/ton</v>
          </cell>
          <cell r="E25">
            <v>0</v>
          </cell>
          <cell r="F25">
            <v>0</v>
          </cell>
          <cell r="G25">
            <v>0</v>
          </cell>
          <cell r="H25">
            <v>0</v>
          </cell>
          <cell r="I25">
            <v>0</v>
          </cell>
          <cell r="J25">
            <v>36.370543003982917</v>
          </cell>
          <cell r="K25">
            <v>35.647920332226917</v>
          </cell>
          <cell r="L25">
            <v>35.495409347815233</v>
          </cell>
          <cell r="M25">
            <v>35.709374301776421</v>
          </cell>
          <cell r="N25">
            <v>35.926926300713419</v>
          </cell>
          <cell r="O25">
            <v>36.153849780370187</v>
          </cell>
          <cell r="P25">
            <v>36.390395867163186</v>
          </cell>
          <cell r="Q25">
            <v>36.631075495528677</v>
          </cell>
          <cell r="R25">
            <v>36.887616904910523</v>
          </cell>
          <cell r="S25">
            <v>37.148755394496895</v>
          </cell>
          <cell r="T25">
            <v>37.420532393547298</v>
          </cell>
          <cell r="U25">
            <v>37.703250633092615</v>
          </cell>
          <cell r="V25">
            <v>37.997225011419118</v>
          </cell>
          <cell r="W25">
            <v>38.302783043249534</v>
          </cell>
          <cell r="X25">
            <v>38.614178200821314</v>
          </cell>
          <cell r="Y25">
            <v>38.941736809206958</v>
          </cell>
          <cell r="Z25">
            <v>39.28184846806635</v>
          </cell>
          <cell r="AA25">
            <v>39.635047935477829</v>
          </cell>
          <cell r="AB25">
            <v>40.001894523144891</v>
          </cell>
          <cell r="AC25">
            <v>40.382973276460952</v>
          </cell>
          <cell r="AD25">
            <v>40.77889621274069</v>
          </cell>
          <cell r="AE25">
            <v>41.190303620523558</v>
          </cell>
          <cell r="AF25">
            <v>41.617865423000751</v>
          </cell>
          <cell r="AG25">
            <v>42.062282608770559</v>
          </cell>
          <cell r="AH25">
            <v>43.914204537430805</v>
          </cell>
        </row>
        <row r="26">
          <cell r="A26" t="str">
            <v>Catalyst (Butene-1)</v>
          </cell>
          <cell r="B26" t="str">
            <v>0.0056$/lb in 1998</v>
          </cell>
          <cell r="C26">
            <v>0</v>
          </cell>
          <cell r="D26" t="str">
            <v>$/ton Butene-1</v>
          </cell>
          <cell r="E26">
            <v>12.104867121951218</v>
          </cell>
          <cell r="F26">
            <v>12.33485959726829</v>
          </cell>
          <cell r="G26">
            <v>12.61327154107317</v>
          </cell>
          <cell r="H26">
            <v>12.927998086243901</v>
          </cell>
          <cell r="I26">
            <v>13.254829498536584</v>
          </cell>
          <cell r="J26">
            <v>13.593765777951218</v>
          </cell>
          <cell r="K26">
            <v>13.932702057365852</v>
          </cell>
          <cell r="L26">
            <v>14.271638336780486</v>
          </cell>
          <cell r="M26">
            <v>14.634784350439023</v>
          </cell>
          <cell r="N26">
            <v>14.997930364097559</v>
          </cell>
          <cell r="O26">
            <v>15.373181244878047</v>
          </cell>
          <cell r="P26">
            <v>15.760536992780485</v>
          </cell>
          <cell r="Q26">
            <v>16.147892740682924</v>
          </cell>
          <cell r="R26">
            <v>16.559458222829267</v>
          </cell>
          <cell r="S26">
            <v>16.971023704975607</v>
          </cell>
          <cell r="T26">
            <v>17.394694054243899</v>
          </cell>
          <cell r="U26">
            <v>17.830469270634143</v>
          </cell>
          <cell r="V26">
            <v>18.278349354146339</v>
          </cell>
          <cell r="W26">
            <v>18.738334304780487</v>
          </cell>
          <cell r="X26">
            <v>19.198319255414631</v>
          </cell>
          <cell r="Y26">
            <v>19.678277236799996</v>
          </cell>
          <cell r="Z26">
            <v>20.170234167719997</v>
          </cell>
          <cell r="AA26">
            <v>20.674490021912995</v>
          </cell>
          <cell r="AB26">
            <v>21.191352272460815</v>
          </cell>
          <cell r="AC26">
            <v>21.721136079272334</v>
          </cell>
          <cell r="AD26">
            <v>22.264164481254138</v>
          </cell>
          <cell r="AE26">
            <v>22.820768593285489</v>
          </cell>
          <cell r="AF26">
            <v>23.391287808117625</v>
          </cell>
          <cell r="AG26">
            <v>23.976070003320565</v>
          </cell>
          <cell r="AH26">
            <v>24.57547175340358</v>
          </cell>
        </row>
        <row r="27">
          <cell r="A27" t="str">
            <v>Ethylene/Propylene Mix</v>
          </cell>
          <cell r="B27" t="str">
            <v>50% of C2 price</v>
          </cell>
          <cell r="C27">
            <v>0</v>
          </cell>
          <cell r="D27" t="str">
            <v>$/ton</v>
          </cell>
          <cell r="E27">
            <v>199.25715480193702</v>
          </cell>
          <cell r="F27">
            <v>170.65807970957903</v>
          </cell>
          <cell r="G27">
            <v>161.7435181753664</v>
          </cell>
          <cell r="H27">
            <v>164.2275578765699</v>
          </cell>
          <cell r="I27">
            <v>162.49831643014019</v>
          </cell>
          <cell r="J27">
            <v>164.41600913824655</v>
          </cell>
          <cell r="K27">
            <v>166.55193141334905</v>
          </cell>
          <cell r="L27">
            <v>168.47181835803477</v>
          </cell>
          <cell r="M27">
            <v>170.73074096195668</v>
          </cell>
          <cell r="N27">
            <v>172.94057235518383</v>
          </cell>
          <cell r="O27">
            <v>176.38592518829313</v>
          </cell>
          <cell r="P27">
            <v>179.60762950135484</v>
          </cell>
          <cell r="Q27">
            <v>182.9005733424149</v>
          </cell>
          <cell r="R27">
            <v>186.3557494357602</v>
          </cell>
          <cell r="S27">
            <v>189.52864884326308</v>
          </cell>
          <cell r="T27">
            <v>193.15582845222801</v>
          </cell>
          <cell r="U27">
            <v>196.81914490034171</v>
          </cell>
          <cell r="V27">
            <v>200.62249209578658</v>
          </cell>
          <cell r="W27">
            <v>204.5230271749904</v>
          </cell>
          <cell r="X27">
            <v>208.38836702545149</v>
          </cell>
          <cell r="Y27">
            <v>212.41394366378853</v>
          </cell>
          <cell r="Z27">
            <v>216.51055640465145</v>
          </cell>
          <cell r="AA27">
            <v>220.67924106776766</v>
          </cell>
          <cell r="AB27">
            <v>224.92104086628675</v>
          </cell>
          <cell r="AC27">
            <v>229.23700612906447</v>
          </cell>
          <cell r="AD27">
            <v>233.62819400443962</v>
          </cell>
          <cell r="AE27">
            <v>238.09566814475286</v>
          </cell>
          <cell r="AF27">
            <v>242.64049837082902</v>
          </cell>
          <cell r="AG27">
            <v>247.26376031561853</v>
          </cell>
          <cell r="AH27">
            <v>251.96653504616575</v>
          </cell>
        </row>
        <row r="28">
          <cell r="A28" t="str">
            <v>C4 Mix</v>
          </cell>
          <cell r="B28" t="str">
            <v>45% of C2 price</v>
          </cell>
          <cell r="C28">
            <v>0</v>
          </cell>
          <cell r="D28" t="str">
            <v>$/ton</v>
          </cell>
          <cell r="E28">
            <v>179.33143932174332</v>
          </cell>
          <cell r="F28">
            <v>153.59227173862112</v>
          </cell>
          <cell r="G28">
            <v>145.56916635782977</v>
          </cell>
          <cell r="H28">
            <v>147.80480208891291</v>
          </cell>
          <cell r="I28">
            <v>146.24848478712619</v>
          </cell>
          <cell r="J28">
            <v>147.97440822442189</v>
          </cell>
          <cell r="K28">
            <v>149.89673827201415</v>
          </cell>
          <cell r="L28">
            <v>151.62463652223127</v>
          </cell>
          <cell r="M28">
            <v>153.65766686576103</v>
          </cell>
          <cell r="N28">
            <v>155.64651511966548</v>
          </cell>
          <cell r="O28">
            <v>158.74733266946382</v>
          </cell>
          <cell r="P28">
            <v>161.64686655121938</v>
          </cell>
          <cell r="Q28">
            <v>164.61051600817342</v>
          </cell>
          <cell r="R28">
            <v>167.72017449218421</v>
          </cell>
          <cell r="S28">
            <v>170.5757839589368</v>
          </cell>
          <cell r="T28">
            <v>173.84024560700522</v>
          </cell>
          <cell r="U28">
            <v>177.13723041030755</v>
          </cell>
          <cell r="V28">
            <v>180.56024288620793</v>
          </cell>
          <cell r="W28">
            <v>184.07072445749139</v>
          </cell>
          <cell r="X28">
            <v>187.54953032290635</v>
          </cell>
          <cell r="Y28">
            <v>191.17254929740966</v>
          </cell>
          <cell r="Z28">
            <v>194.85950076418632</v>
          </cell>
          <cell r="AA28">
            <v>198.61131696099088</v>
          </cell>
          <cell r="AB28">
            <v>202.42893677965807</v>
          </cell>
          <cell r="AC28">
            <v>206.31330551615801</v>
          </cell>
          <cell r="AD28">
            <v>210.26537460399564</v>
          </cell>
          <cell r="AE28">
            <v>214.28610133027757</v>
          </cell>
          <cell r="AF28">
            <v>218.37644853374613</v>
          </cell>
          <cell r="AG28">
            <v>222.53738428405666</v>
          </cell>
          <cell r="AH28">
            <v>226.76988154154918</v>
          </cell>
        </row>
        <row r="29">
          <cell r="A29" t="str">
            <v>C5+ LAO's</v>
          </cell>
          <cell r="B29" t="str">
            <v>150% of C2 price</v>
          </cell>
          <cell r="C29">
            <v>0</v>
          </cell>
          <cell r="D29" t="str">
            <v>$/ton</v>
          </cell>
          <cell r="E29">
            <v>597.771464405811</v>
          </cell>
          <cell r="F29">
            <v>511.97423912873705</v>
          </cell>
          <cell r="G29">
            <v>485.23055452609918</v>
          </cell>
          <cell r="H29">
            <v>492.68267362970971</v>
          </cell>
          <cell r="I29">
            <v>487.49494929042055</v>
          </cell>
          <cell r="J29">
            <v>493.24802741473968</v>
          </cell>
          <cell r="K29">
            <v>499.6557942400471</v>
          </cell>
          <cell r="L29">
            <v>505.41545507410433</v>
          </cell>
          <cell r="M29">
            <v>512.19222288587002</v>
          </cell>
          <cell r="N29">
            <v>518.82171706555152</v>
          </cell>
          <cell r="O29">
            <v>529.15777556487944</v>
          </cell>
          <cell r="P29">
            <v>538.82288850406451</v>
          </cell>
          <cell r="Q29">
            <v>548.70172002724473</v>
          </cell>
          <cell r="R29">
            <v>559.06724830728069</v>
          </cell>
          <cell r="S29">
            <v>568.58594652978923</v>
          </cell>
          <cell r="T29">
            <v>579.46748535668405</v>
          </cell>
          <cell r="U29">
            <v>590.45743470102514</v>
          </cell>
          <cell r="V29">
            <v>601.86747628735975</v>
          </cell>
          <cell r="W29">
            <v>613.56908152497124</v>
          </cell>
          <cell r="X29">
            <v>625.16510107635452</v>
          </cell>
          <cell r="Y29">
            <v>637.24183099136553</v>
          </cell>
          <cell r="Z29">
            <v>649.53166921395439</v>
          </cell>
          <cell r="AA29">
            <v>662.0377232033029</v>
          </cell>
          <cell r="AB29">
            <v>674.76312259886026</v>
          </cell>
          <cell r="AC29">
            <v>687.71101838719346</v>
          </cell>
          <cell r="AD29">
            <v>700.88458201331889</v>
          </cell>
          <cell r="AE29">
            <v>714.28700443425862</v>
          </cell>
          <cell r="AF29">
            <v>727.92149511248704</v>
          </cell>
          <cell r="AG29">
            <v>741.79128094685564</v>
          </cell>
          <cell r="AH29">
            <v>755.89960513849724</v>
          </cell>
        </row>
        <row r="30">
          <cell r="A30" t="str">
            <v>Purge Gas</v>
          </cell>
          <cell r="B30" t="str">
            <v>Methane equivalent</v>
          </cell>
          <cell r="C30">
            <v>0</v>
          </cell>
          <cell r="D30" t="str">
            <v>$/ton</v>
          </cell>
          <cell r="E30">
            <v>0</v>
          </cell>
          <cell r="F30">
            <v>32.679611640000005</v>
          </cell>
          <cell r="G30">
            <v>32.679611640000005</v>
          </cell>
          <cell r="H30">
            <v>32.679611640000005</v>
          </cell>
          <cell r="I30">
            <v>32.679611640000005</v>
          </cell>
          <cell r="J30">
            <v>32.679611640000005</v>
          </cell>
          <cell r="K30">
            <v>32.679611640000005</v>
          </cell>
          <cell r="L30">
            <v>32.679611640000005</v>
          </cell>
          <cell r="M30">
            <v>32.679611640000005</v>
          </cell>
          <cell r="N30">
            <v>32.679611640000005</v>
          </cell>
          <cell r="O30">
            <v>32.679611640000005</v>
          </cell>
          <cell r="P30">
            <v>32.679611640000005</v>
          </cell>
          <cell r="Q30">
            <v>32.679611640000005</v>
          </cell>
          <cell r="R30">
            <v>32.679611640000005</v>
          </cell>
          <cell r="S30">
            <v>32.679611640000005</v>
          </cell>
          <cell r="T30">
            <v>32.679611640000005</v>
          </cell>
          <cell r="U30">
            <v>32.679611640000005</v>
          </cell>
          <cell r="V30">
            <v>32.679611640000005</v>
          </cell>
          <cell r="W30">
            <v>32.679611640000005</v>
          </cell>
          <cell r="X30">
            <v>32.679611640000005</v>
          </cell>
          <cell r="Y30">
            <v>32.679611640000005</v>
          </cell>
          <cell r="Z30">
            <v>32.679611640000005</v>
          </cell>
          <cell r="AA30">
            <v>32.679611640000005</v>
          </cell>
          <cell r="AB30">
            <v>32.679611640000005</v>
          </cell>
          <cell r="AC30">
            <v>32.679611640000005</v>
          </cell>
          <cell r="AD30">
            <v>32.679611640000005</v>
          </cell>
          <cell r="AE30">
            <v>32.679611640000005</v>
          </cell>
          <cell r="AF30">
            <v>32.679611640000005</v>
          </cell>
          <cell r="AG30">
            <v>32.679611640000005</v>
          </cell>
          <cell r="AH30">
            <v>32.679611640000005</v>
          </cell>
        </row>
        <row r="31">
          <cell r="A31" t="str">
            <v>Polymer Freight (Western Europe)</v>
          </cell>
          <cell r="B31">
            <v>0</v>
          </cell>
          <cell r="C31">
            <v>0</v>
          </cell>
          <cell r="D31" t="str">
            <v>$/ton</v>
          </cell>
          <cell r="E31">
            <v>60</v>
          </cell>
          <cell r="F31">
            <v>61.139999999999993</v>
          </cell>
          <cell r="G31">
            <v>62.52</v>
          </cell>
          <cell r="H31">
            <v>64.08</v>
          </cell>
          <cell r="I31">
            <v>65.7</v>
          </cell>
          <cell r="J31">
            <v>67.38</v>
          </cell>
          <cell r="K31">
            <v>69.06</v>
          </cell>
          <cell r="L31">
            <v>70.740000000000009</v>
          </cell>
          <cell r="M31">
            <v>72.540000000000006</v>
          </cell>
          <cell r="N31">
            <v>74.34</v>
          </cell>
          <cell r="O31">
            <v>76.2</v>
          </cell>
          <cell r="P31">
            <v>78.12</v>
          </cell>
          <cell r="Q31">
            <v>80.040000000000006</v>
          </cell>
          <cell r="R31">
            <v>82.080000000000013</v>
          </cell>
          <cell r="S31">
            <v>84.11999999999999</v>
          </cell>
          <cell r="T31">
            <v>86.22</v>
          </cell>
          <cell r="U31">
            <v>88.38000000000001</v>
          </cell>
          <cell r="V31">
            <v>90.6</v>
          </cell>
          <cell r="W31">
            <v>92.88</v>
          </cell>
          <cell r="X31">
            <v>95.160000000000011</v>
          </cell>
          <cell r="Y31">
            <v>97.539000000000001</v>
          </cell>
          <cell r="Z31">
            <v>99.977474999999998</v>
          </cell>
          <cell r="AA31">
            <v>102.47691187499998</v>
          </cell>
          <cell r="AB31">
            <v>105.03883467187497</v>
          </cell>
          <cell r="AC31">
            <v>107.66480553867183</v>
          </cell>
          <cell r="AD31">
            <v>110.35642567713862</v>
          </cell>
          <cell r="AE31">
            <v>113.11533631906707</v>
          </cell>
          <cell r="AF31">
            <v>115.94321972704374</v>
          </cell>
          <cell r="AG31">
            <v>118.84180022021982</v>
          </cell>
          <cell r="AH31">
            <v>121.81284522572531</v>
          </cell>
        </row>
        <row r="32">
          <cell r="A32" t="str">
            <v>Polymer Freight (East Asia)</v>
          </cell>
          <cell r="B32">
            <v>0</v>
          </cell>
          <cell r="C32">
            <v>0</v>
          </cell>
          <cell r="D32" t="str">
            <v>$/ton</v>
          </cell>
          <cell r="E32">
            <v>56</v>
          </cell>
          <cell r="F32">
            <v>57.063999999999993</v>
          </cell>
          <cell r="G32">
            <v>58.352000000000004</v>
          </cell>
          <cell r="H32">
            <v>59.808000000000007</v>
          </cell>
          <cell r="I32">
            <v>61.32</v>
          </cell>
          <cell r="J32">
            <v>62.887999999999998</v>
          </cell>
          <cell r="K32">
            <v>64.456000000000003</v>
          </cell>
          <cell r="L32">
            <v>66.024000000000001</v>
          </cell>
          <cell r="M32">
            <v>67.704000000000008</v>
          </cell>
          <cell r="N32">
            <v>69.384</v>
          </cell>
          <cell r="O32">
            <v>71.12</v>
          </cell>
          <cell r="P32">
            <v>72.912000000000006</v>
          </cell>
          <cell r="Q32">
            <v>74.704000000000008</v>
          </cell>
          <cell r="R32">
            <v>76.608000000000004</v>
          </cell>
          <cell r="S32">
            <v>78.512</v>
          </cell>
          <cell r="T32">
            <v>80.472000000000008</v>
          </cell>
          <cell r="U32">
            <v>82.488</v>
          </cell>
          <cell r="V32">
            <v>84.56</v>
          </cell>
          <cell r="W32">
            <v>86.688000000000002</v>
          </cell>
          <cell r="X32">
            <v>88.816000000000003</v>
          </cell>
          <cell r="Y32">
            <v>91.0364</v>
          </cell>
          <cell r="Z32">
            <v>93.312309999999997</v>
          </cell>
          <cell r="AA32">
            <v>95.645117749999983</v>
          </cell>
          <cell r="AB32">
            <v>98.036245693749976</v>
          </cell>
          <cell r="AC32">
            <v>100.48715183609372</v>
          </cell>
          <cell r="AD32">
            <v>102.99933063199605</v>
          </cell>
          <cell r="AE32">
            <v>105.57431389779593</v>
          </cell>
          <cell r="AF32">
            <v>108.21367174524082</v>
          </cell>
          <cell r="AG32">
            <v>110.91901353887184</v>
          </cell>
          <cell r="AH32">
            <v>113.69198887734363</v>
          </cell>
        </row>
        <row r="33">
          <cell r="A33" t="str">
            <v>Polymer Freight (West Asia)</v>
          </cell>
          <cell r="B33">
            <v>0</v>
          </cell>
          <cell r="C33">
            <v>0</v>
          </cell>
          <cell r="D33" t="str">
            <v>$/ton</v>
          </cell>
          <cell r="E33">
            <v>40</v>
          </cell>
          <cell r="F33">
            <v>40.76</v>
          </cell>
          <cell r="G33">
            <v>41.68</v>
          </cell>
          <cell r="H33">
            <v>42.72</v>
          </cell>
          <cell r="I33">
            <v>43.8</v>
          </cell>
          <cell r="J33">
            <v>44.92</v>
          </cell>
          <cell r="K33">
            <v>46.04</v>
          </cell>
          <cell r="L33">
            <v>47.160000000000004</v>
          </cell>
          <cell r="M33">
            <v>48.36</v>
          </cell>
          <cell r="N33">
            <v>49.56</v>
          </cell>
          <cell r="O33">
            <v>50.8</v>
          </cell>
          <cell r="P33">
            <v>52.08</v>
          </cell>
          <cell r="Q33">
            <v>53.36</v>
          </cell>
          <cell r="R33">
            <v>54.720000000000006</v>
          </cell>
          <cell r="S33">
            <v>56.08</v>
          </cell>
          <cell r="T33">
            <v>57.480000000000004</v>
          </cell>
          <cell r="U33">
            <v>58.92</v>
          </cell>
          <cell r="V33">
            <v>60.4</v>
          </cell>
          <cell r="W33">
            <v>61.92</v>
          </cell>
          <cell r="X33">
            <v>63.440000000000005</v>
          </cell>
          <cell r="Y33">
            <v>65.025999999999996</v>
          </cell>
          <cell r="Z33">
            <v>66.651650000000004</v>
          </cell>
          <cell r="AA33">
            <v>68.31794124999999</v>
          </cell>
          <cell r="AB33">
            <v>70.025889781249987</v>
          </cell>
          <cell r="AC33">
            <v>71.776537025781224</v>
          </cell>
          <cell r="AD33">
            <v>73.570950451425745</v>
          </cell>
          <cell r="AE33">
            <v>75.410224212711384</v>
          </cell>
          <cell r="AF33">
            <v>77.29547981802915</v>
          </cell>
          <cell r="AG33">
            <v>79.227866813479878</v>
          </cell>
          <cell r="AH33">
            <v>81.208563483816874</v>
          </cell>
        </row>
        <row r="34">
          <cell r="A34" t="str">
            <v>Polymer Freight (Iran)</v>
          </cell>
          <cell r="B34">
            <v>0</v>
          </cell>
          <cell r="C34">
            <v>0</v>
          </cell>
          <cell r="D34" t="str">
            <v>$/ton</v>
          </cell>
          <cell r="E34">
            <v>20</v>
          </cell>
          <cell r="F34">
            <v>20.38</v>
          </cell>
          <cell r="G34">
            <v>20.84</v>
          </cell>
          <cell r="H34">
            <v>21.36</v>
          </cell>
          <cell r="I34">
            <v>21.9</v>
          </cell>
          <cell r="J34">
            <v>22.46</v>
          </cell>
          <cell r="K34">
            <v>23.02</v>
          </cell>
          <cell r="L34">
            <v>23.580000000000002</v>
          </cell>
          <cell r="M34">
            <v>24.18</v>
          </cell>
          <cell r="N34">
            <v>24.78</v>
          </cell>
          <cell r="O34">
            <v>25.4</v>
          </cell>
          <cell r="P34">
            <v>26.04</v>
          </cell>
          <cell r="Q34">
            <v>26.68</v>
          </cell>
          <cell r="R34">
            <v>27.360000000000003</v>
          </cell>
          <cell r="S34">
            <v>28.04</v>
          </cell>
          <cell r="T34">
            <v>28.740000000000002</v>
          </cell>
          <cell r="U34">
            <v>29.46</v>
          </cell>
          <cell r="V34">
            <v>30.2</v>
          </cell>
          <cell r="W34">
            <v>30.96</v>
          </cell>
          <cell r="X34">
            <v>31.720000000000002</v>
          </cell>
          <cell r="Y34">
            <v>32.512999999999998</v>
          </cell>
          <cell r="Z34">
            <v>33.325825000000002</v>
          </cell>
          <cell r="AA34">
            <v>34.158970624999995</v>
          </cell>
          <cell r="AB34">
            <v>35.012944890624993</v>
          </cell>
          <cell r="AC34">
            <v>35.888268512890612</v>
          </cell>
          <cell r="AD34">
            <v>36.785475225712872</v>
          </cell>
          <cell r="AE34">
            <v>37.705112106355692</v>
          </cell>
          <cell r="AF34">
            <v>38.647739909014575</v>
          </cell>
          <cell r="AG34">
            <v>39.613933406739939</v>
          </cell>
          <cell r="AH34">
            <v>40.604281741908437</v>
          </cell>
        </row>
        <row r="35">
          <cell r="A35" t="str">
            <v>MEG Freight (Western Europe)</v>
          </cell>
          <cell r="B35">
            <v>0</v>
          </cell>
          <cell r="C35">
            <v>0</v>
          </cell>
          <cell r="D35" t="str">
            <v>$/ton</v>
          </cell>
          <cell r="E35">
            <v>67</v>
          </cell>
          <cell r="F35">
            <v>68.272999999999996</v>
          </cell>
          <cell r="G35">
            <v>69.814000000000007</v>
          </cell>
          <cell r="H35">
            <v>71.555999999999997</v>
          </cell>
          <cell r="I35">
            <v>73.364999999999995</v>
          </cell>
          <cell r="J35">
            <v>75.241</v>
          </cell>
          <cell r="K35">
            <v>77.117000000000004</v>
          </cell>
          <cell r="L35">
            <v>78.993000000000009</v>
          </cell>
          <cell r="M35">
            <v>81.003</v>
          </cell>
          <cell r="N35">
            <v>83.013000000000005</v>
          </cell>
          <cell r="O35">
            <v>85.09</v>
          </cell>
          <cell r="P35">
            <v>87.234000000000009</v>
          </cell>
          <cell r="Q35">
            <v>89.378</v>
          </cell>
          <cell r="R35">
            <v>91.656000000000006</v>
          </cell>
          <cell r="S35">
            <v>93.933999999999997</v>
          </cell>
          <cell r="T35">
            <v>96.279000000000011</v>
          </cell>
          <cell r="U35">
            <v>98.691000000000003</v>
          </cell>
          <cell r="V35">
            <v>101.17</v>
          </cell>
          <cell r="W35">
            <v>103.71600000000001</v>
          </cell>
          <cell r="X35">
            <v>106.262</v>
          </cell>
          <cell r="Y35">
            <v>108.91855</v>
          </cell>
          <cell r="Z35">
            <v>111.64151375</v>
          </cell>
          <cell r="AA35">
            <v>114.43255159374999</v>
          </cell>
          <cell r="AB35">
            <v>117.29336538359372</v>
          </cell>
          <cell r="AC35">
            <v>120.22569951818355</v>
          </cell>
          <cell r="AD35">
            <v>123.23134200613812</v>
          </cell>
          <cell r="AE35">
            <v>126.31212555629156</v>
          </cell>
          <cell r="AF35">
            <v>129.46992869519883</v>
          </cell>
          <cell r="AG35">
            <v>132.70667691257881</v>
          </cell>
          <cell r="AH35">
            <v>136.02434383539327</v>
          </cell>
        </row>
        <row r="36">
          <cell r="A36" t="str">
            <v>MEG Freight (East Asia)</v>
          </cell>
          <cell r="B36">
            <v>0</v>
          </cell>
          <cell r="C36">
            <v>0</v>
          </cell>
          <cell r="D36" t="str">
            <v>$/ton</v>
          </cell>
          <cell r="E36">
            <v>45</v>
          </cell>
          <cell r="F36">
            <v>45.854999999999997</v>
          </cell>
          <cell r="G36">
            <v>46.89</v>
          </cell>
          <cell r="H36">
            <v>48.06</v>
          </cell>
          <cell r="I36">
            <v>49.274999999999999</v>
          </cell>
          <cell r="J36">
            <v>50.534999999999997</v>
          </cell>
          <cell r="K36">
            <v>51.795000000000002</v>
          </cell>
          <cell r="L36">
            <v>53.055</v>
          </cell>
          <cell r="M36">
            <v>54.405000000000001</v>
          </cell>
          <cell r="N36">
            <v>55.755000000000003</v>
          </cell>
          <cell r="O36">
            <v>57.15</v>
          </cell>
          <cell r="P36">
            <v>58.59</v>
          </cell>
          <cell r="Q36">
            <v>60.03</v>
          </cell>
          <cell r="R36">
            <v>61.56</v>
          </cell>
          <cell r="S36">
            <v>63.089999999999996</v>
          </cell>
          <cell r="T36">
            <v>64.665000000000006</v>
          </cell>
          <cell r="U36">
            <v>66.285000000000011</v>
          </cell>
          <cell r="V36">
            <v>67.95</v>
          </cell>
          <cell r="W36">
            <v>69.66</v>
          </cell>
          <cell r="X36">
            <v>71.37</v>
          </cell>
          <cell r="Y36">
            <v>73.154250000000005</v>
          </cell>
          <cell r="Z36">
            <v>74.983106250000006</v>
          </cell>
          <cell r="AA36">
            <v>76.857683906249989</v>
          </cell>
          <cell r="AB36">
            <v>78.779126003906228</v>
          </cell>
          <cell r="AC36">
            <v>80.748604154003871</v>
          </cell>
          <cell r="AD36">
            <v>82.767319257853956</v>
          </cell>
          <cell r="AE36">
            <v>84.836502239300302</v>
          </cell>
          <cell r="AF36">
            <v>86.957414795282801</v>
          </cell>
          <cell r="AG36">
            <v>89.131350165164861</v>
          </cell>
          <cell r="AH36">
            <v>91.359633919293984</v>
          </cell>
        </row>
        <row r="37">
          <cell r="A37" t="str">
            <v>MEG Freight (West Asia)</v>
          </cell>
          <cell r="B37">
            <v>0</v>
          </cell>
          <cell r="C37">
            <v>0</v>
          </cell>
          <cell r="D37" t="str">
            <v>$/ton</v>
          </cell>
          <cell r="E37">
            <v>40</v>
          </cell>
          <cell r="F37">
            <v>40.76</v>
          </cell>
          <cell r="G37">
            <v>41.68</v>
          </cell>
          <cell r="H37">
            <v>42.72</v>
          </cell>
          <cell r="I37">
            <v>43.8</v>
          </cell>
          <cell r="J37">
            <v>44.92</v>
          </cell>
          <cell r="K37">
            <v>46.04</v>
          </cell>
          <cell r="L37">
            <v>47.160000000000004</v>
          </cell>
          <cell r="M37">
            <v>48.36</v>
          </cell>
          <cell r="N37">
            <v>49.56</v>
          </cell>
          <cell r="O37">
            <v>50.8</v>
          </cell>
          <cell r="P37">
            <v>52.08</v>
          </cell>
          <cell r="Q37">
            <v>53.36</v>
          </cell>
          <cell r="R37">
            <v>54.720000000000006</v>
          </cell>
          <cell r="S37">
            <v>56.08</v>
          </cell>
          <cell r="T37">
            <v>57.480000000000004</v>
          </cell>
          <cell r="U37">
            <v>58.92</v>
          </cell>
          <cell r="V37">
            <v>60.4</v>
          </cell>
          <cell r="W37">
            <v>61.92</v>
          </cell>
          <cell r="X37">
            <v>63.440000000000005</v>
          </cell>
          <cell r="Y37">
            <v>65.025999999999996</v>
          </cell>
          <cell r="Z37">
            <v>66.651650000000004</v>
          </cell>
          <cell r="AA37">
            <v>68.31794124999999</v>
          </cell>
          <cell r="AB37">
            <v>70.025889781249987</v>
          </cell>
          <cell r="AC37">
            <v>71.776537025781224</v>
          </cell>
          <cell r="AD37">
            <v>73.570950451425745</v>
          </cell>
          <cell r="AE37">
            <v>75.410224212711384</v>
          </cell>
          <cell r="AF37">
            <v>77.29547981802915</v>
          </cell>
          <cell r="AG37">
            <v>79.227866813479878</v>
          </cell>
          <cell r="AH37">
            <v>81.208563483816874</v>
          </cell>
        </row>
        <row r="38">
          <cell r="A38" t="str">
            <v>MEG Freight (Iran)</v>
          </cell>
          <cell r="B38">
            <v>0</v>
          </cell>
          <cell r="C38">
            <v>0</v>
          </cell>
          <cell r="D38" t="str">
            <v>$/ton</v>
          </cell>
          <cell r="E38">
            <v>20</v>
          </cell>
          <cell r="F38">
            <v>20.38</v>
          </cell>
          <cell r="G38">
            <v>20.84</v>
          </cell>
          <cell r="H38">
            <v>21.36</v>
          </cell>
          <cell r="I38">
            <v>21.9</v>
          </cell>
          <cell r="J38">
            <v>22.46</v>
          </cell>
          <cell r="K38">
            <v>23.02</v>
          </cell>
          <cell r="L38">
            <v>23.580000000000002</v>
          </cell>
          <cell r="M38">
            <v>24.18</v>
          </cell>
          <cell r="N38">
            <v>24.78</v>
          </cell>
          <cell r="O38">
            <v>25.4</v>
          </cell>
          <cell r="P38">
            <v>26.04</v>
          </cell>
          <cell r="Q38">
            <v>26.68</v>
          </cell>
          <cell r="R38">
            <v>27.360000000000003</v>
          </cell>
          <cell r="S38">
            <v>28.04</v>
          </cell>
          <cell r="T38">
            <v>28.740000000000002</v>
          </cell>
          <cell r="U38">
            <v>29.46</v>
          </cell>
          <cell r="V38">
            <v>30.2</v>
          </cell>
          <cell r="W38">
            <v>30.96</v>
          </cell>
          <cell r="X38">
            <v>31.720000000000002</v>
          </cell>
          <cell r="Y38">
            <v>32.512999999999998</v>
          </cell>
          <cell r="Z38">
            <v>33.325825000000002</v>
          </cell>
          <cell r="AA38">
            <v>34.158970624999995</v>
          </cell>
          <cell r="AB38">
            <v>35.012944890624993</v>
          </cell>
          <cell r="AC38">
            <v>35.888268512890612</v>
          </cell>
          <cell r="AD38">
            <v>36.785475225712872</v>
          </cell>
          <cell r="AE38">
            <v>37.705112106355692</v>
          </cell>
          <cell r="AF38">
            <v>38.647739909014575</v>
          </cell>
          <cell r="AG38">
            <v>39.613933406739939</v>
          </cell>
          <cell r="AH38">
            <v>40.604281741908437</v>
          </cell>
        </row>
        <row r="39">
          <cell r="A39" t="str">
            <v>Styrene Freight (Western Europe)</v>
          </cell>
          <cell r="B39">
            <v>0</v>
          </cell>
          <cell r="C39">
            <v>0</v>
          </cell>
          <cell r="D39" t="str">
            <v>$/ton</v>
          </cell>
          <cell r="E39">
            <v>70</v>
          </cell>
          <cell r="F39">
            <v>71.33</v>
          </cell>
          <cell r="G39">
            <v>72.94</v>
          </cell>
          <cell r="H39">
            <v>74.760000000000005</v>
          </cell>
          <cell r="I39">
            <v>76.649999999999991</v>
          </cell>
          <cell r="J39">
            <v>78.61</v>
          </cell>
          <cell r="K39">
            <v>80.570000000000007</v>
          </cell>
          <cell r="L39">
            <v>82.53</v>
          </cell>
          <cell r="M39">
            <v>84.63000000000001</v>
          </cell>
          <cell r="N39">
            <v>86.73</v>
          </cell>
          <cell r="O39">
            <v>88.9</v>
          </cell>
          <cell r="P39">
            <v>91.14</v>
          </cell>
          <cell r="Q39">
            <v>93.38000000000001</v>
          </cell>
          <cell r="R39">
            <v>95.76</v>
          </cell>
          <cell r="S39">
            <v>98.14</v>
          </cell>
          <cell r="T39">
            <v>100.59</v>
          </cell>
          <cell r="U39">
            <v>103.11</v>
          </cell>
          <cell r="V39">
            <v>105.7</v>
          </cell>
          <cell r="W39">
            <v>108.36</v>
          </cell>
          <cell r="X39">
            <v>111.02000000000001</v>
          </cell>
          <cell r="Y39">
            <v>113.7955</v>
          </cell>
          <cell r="Z39">
            <v>116.6403875</v>
          </cell>
          <cell r="AA39">
            <v>119.55639718749998</v>
          </cell>
          <cell r="AB39">
            <v>122.54530711718746</v>
          </cell>
          <cell r="AC39">
            <v>125.60893979511714</v>
          </cell>
          <cell r="AD39">
            <v>128.74916328999504</v>
          </cell>
          <cell r="AE39">
            <v>131.9678923722449</v>
          </cell>
          <cell r="AF39">
            <v>135.26708968155103</v>
          </cell>
          <cell r="AG39">
            <v>138.64876692358979</v>
          </cell>
          <cell r="AH39">
            <v>142.11498609667953</v>
          </cell>
        </row>
        <row r="40">
          <cell r="A40" t="str">
            <v>Styrene Freight (East Asia)</v>
          </cell>
          <cell r="B40">
            <v>0</v>
          </cell>
          <cell r="C40">
            <v>0</v>
          </cell>
          <cell r="D40" t="str">
            <v>$/ton</v>
          </cell>
          <cell r="E40">
            <v>47</v>
          </cell>
          <cell r="F40">
            <v>47.892999999999994</v>
          </cell>
          <cell r="G40">
            <v>48.974000000000004</v>
          </cell>
          <cell r="H40">
            <v>50.196000000000005</v>
          </cell>
          <cell r="I40">
            <v>51.464999999999996</v>
          </cell>
          <cell r="J40">
            <v>52.780999999999999</v>
          </cell>
          <cell r="K40">
            <v>54.097000000000001</v>
          </cell>
          <cell r="L40">
            <v>55.413000000000004</v>
          </cell>
          <cell r="M40">
            <v>56.823</v>
          </cell>
          <cell r="N40">
            <v>58.233000000000004</v>
          </cell>
          <cell r="O40">
            <v>59.69</v>
          </cell>
          <cell r="P40">
            <v>61.194000000000003</v>
          </cell>
          <cell r="Q40">
            <v>62.698</v>
          </cell>
          <cell r="R40">
            <v>64.296000000000006</v>
          </cell>
          <cell r="S40">
            <v>65.893999999999991</v>
          </cell>
          <cell r="T40">
            <v>67.539000000000001</v>
          </cell>
          <cell r="U40">
            <v>69.231000000000009</v>
          </cell>
          <cell r="V40">
            <v>70.97</v>
          </cell>
          <cell r="W40">
            <v>72.756</v>
          </cell>
          <cell r="X40">
            <v>74.542000000000002</v>
          </cell>
          <cell r="Y40">
            <v>76.405550000000005</v>
          </cell>
          <cell r="Z40">
            <v>78.315688750000007</v>
          </cell>
          <cell r="AA40">
            <v>80.273580968749997</v>
          </cell>
          <cell r="AB40">
            <v>82.28042049296873</v>
          </cell>
          <cell r="AC40">
            <v>84.337431005292942</v>
          </cell>
          <cell r="AD40">
            <v>86.445866780425249</v>
          </cell>
          <cell r="AE40">
            <v>88.607013449935863</v>
          </cell>
          <cell r="AF40">
            <v>90.822188786184256</v>
          </cell>
          <cell r="AG40">
            <v>93.092743505838854</v>
          </cell>
          <cell r="AH40">
            <v>95.42006209348483</v>
          </cell>
        </row>
        <row r="41">
          <cell r="A41" t="str">
            <v>Styrene Freight (West Asia)</v>
          </cell>
          <cell r="B41">
            <v>0</v>
          </cell>
          <cell r="C41">
            <v>0</v>
          </cell>
          <cell r="D41" t="str">
            <v>$/ton</v>
          </cell>
          <cell r="E41">
            <v>42</v>
          </cell>
          <cell r="F41">
            <v>42.797999999999995</v>
          </cell>
          <cell r="G41">
            <v>43.764000000000003</v>
          </cell>
          <cell r="H41">
            <v>44.856000000000002</v>
          </cell>
          <cell r="I41">
            <v>45.99</v>
          </cell>
          <cell r="J41">
            <v>47.165999999999997</v>
          </cell>
          <cell r="K41">
            <v>48.341999999999999</v>
          </cell>
          <cell r="L41">
            <v>49.518000000000001</v>
          </cell>
          <cell r="M41">
            <v>50.778000000000006</v>
          </cell>
          <cell r="N41">
            <v>52.038000000000004</v>
          </cell>
          <cell r="O41">
            <v>53.34</v>
          </cell>
          <cell r="P41">
            <v>54.684000000000005</v>
          </cell>
          <cell r="Q41">
            <v>56.028000000000006</v>
          </cell>
          <cell r="R41">
            <v>57.456000000000003</v>
          </cell>
          <cell r="S41">
            <v>58.883999999999993</v>
          </cell>
          <cell r="T41">
            <v>60.353999999999999</v>
          </cell>
          <cell r="U41">
            <v>61.866000000000007</v>
          </cell>
          <cell r="V41">
            <v>63.42</v>
          </cell>
          <cell r="W41">
            <v>65.016000000000005</v>
          </cell>
          <cell r="X41">
            <v>66.612000000000009</v>
          </cell>
          <cell r="Y41">
            <v>68.277299999999997</v>
          </cell>
          <cell r="Z41">
            <v>69.984232500000005</v>
          </cell>
          <cell r="AA41">
            <v>71.733838312499998</v>
          </cell>
          <cell r="AB41">
            <v>73.527184270312475</v>
          </cell>
          <cell r="AC41">
            <v>75.36536387707028</v>
          </cell>
          <cell r="AD41">
            <v>77.249497973997023</v>
          </cell>
          <cell r="AE41">
            <v>79.180735423346945</v>
          </cell>
          <cell r="AF41">
            <v>81.160253808930619</v>
          </cell>
          <cell r="AG41">
            <v>83.189260154153871</v>
          </cell>
          <cell r="AH41">
            <v>85.268991658007721</v>
          </cell>
        </row>
        <row r="42">
          <cell r="A42" t="str">
            <v>Styrene Freight (Iran)</v>
          </cell>
          <cell r="B42">
            <v>0</v>
          </cell>
          <cell r="C42">
            <v>0</v>
          </cell>
          <cell r="D42" t="str">
            <v>$/ton</v>
          </cell>
          <cell r="E42">
            <v>21.5</v>
          </cell>
          <cell r="F42">
            <v>21.908499999999997</v>
          </cell>
          <cell r="G42">
            <v>22.403000000000002</v>
          </cell>
          <cell r="H42">
            <v>22.962</v>
          </cell>
          <cell r="I42">
            <v>23.5425</v>
          </cell>
          <cell r="J42">
            <v>24.144500000000001</v>
          </cell>
          <cell r="K42">
            <v>24.746500000000001</v>
          </cell>
          <cell r="L42">
            <v>25.348500000000001</v>
          </cell>
          <cell r="M42">
            <v>25.993500000000001</v>
          </cell>
          <cell r="N42">
            <v>26.638500000000001</v>
          </cell>
          <cell r="O42">
            <v>27.305</v>
          </cell>
          <cell r="P42">
            <v>27.993000000000002</v>
          </cell>
          <cell r="Q42">
            <v>28.681000000000001</v>
          </cell>
          <cell r="R42">
            <v>29.412000000000003</v>
          </cell>
          <cell r="S42">
            <v>30.142999999999997</v>
          </cell>
          <cell r="T42">
            <v>30.895500000000002</v>
          </cell>
          <cell r="U42">
            <v>31.669500000000003</v>
          </cell>
          <cell r="V42">
            <v>32.465000000000003</v>
          </cell>
          <cell r="W42">
            <v>33.282000000000004</v>
          </cell>
          <cell r="X42">
            <v>34.099000000000004</v>
          </cell>
          <cell r="Y42">
            <v>34.951475000000002</v>
          </cell>
          <cell r="Z42">
            <v>35.825261875000002</v>
          </cell>
          <cell r="AA42">
            <v>36.720893421874997</v>
          </cell>
          <cell r="AB42">
            <v>37.638915757421863</v>
          </cell>
          <cell r="AC42">
            <v>38.579888651357408</v>
          </cell>
          <cell r="AD42">
            <v>39.544385867641338</v>
          </cell>
          <cell r="AE42">
            <v>40.532995514332363</v>
          </cell>
          <cell r="AF42">
            <v>41.546320402190673</v>
          </cell>
          <cell r="AG42">
            <v>42.584978412245434</v>
          </cell>
          <cell r="AH42">
            <v>43.649602872551569</v>
          </cell>
        </row>
        <row r="43">
          <cell r="A43" t="str">
            <v>Packaging</v>
          </cell>
          <cell r="B43">
            <v>0</v>
          </cell>
          <cell r="C43">
            <v>0</v>
          </cell>
          <cell r="D43" t="str">
            <v>$/ton</v>
          </cell>
          <cell r="E43">
            <v>15</v>
          </cell>
          <cell r="F43">
            <v>15.284999999999998</v>
          </cell>
          <cell r="G43">
            <v>15.63</v>
          </cell>
          <cell r="H43">
            <v>16.02</v>
          </cell>
          <cell r="I43">
            <v>16.425000000000001</v>
          </cell>
          <cell r="J43">
            <v>16.844999999999999</v>
          </cell>
          <cell r="K43">
            <v>17.265000000000001</v>
          </cell>
          <cell r="L43">
            <v>17.685000000000002</v>
          </cell>
          <cell r="M43">
            <v>18.135000000000002</v>
          </cell>
          <cell r="N43">
            <v>18.585000000000001</v>
          </cell>
          <cell r="O43">
            <v>19.05</v>
          </cell>
          <cell r="P43">
            <v>19.53</v>
          </cell>
          <cell r="Q43">
            <v>20.010000000000002</v>
          </cell>
          <cell r="R43">
            <v>20.520000000000003</v>
          </cell>
          <cell r="S43">
            <v>21.029999999999998</v>
          </cell>
          <cell r="T43">
            <v>21.555</v>
          </cell>
          <cell r="U43">
            <v>22.095000000000002</v>
          </cell>
          <cell r="V43">
            <v>22.65</v>
          </cell>
          <cell r="W43">
            <v>23.22</v>
          </cell>
          <cell r="X43">
            <v>23.790000000000003</v>
          </cell>
          <cell r="Y43">
            <v>24.38475</v>
          </cell>
          <cell r="Z43">
            <v>24.99436875</v>
          </cell>
          <cell r="AA43">
            <v>25.619227968749996</v>
          </cell>
          <cell r="AB43">
            <v>26.259708667968741</v>
          </cell>
          <cell r="AC43">
            <v>26.916201384667957</v>
          </cell>
          <cell r="AD43">
            <v>27.589106419284654</v>
          </cell>
          <cell r="AE43">
            <v>28.278834079766767</v>
          </cell>
          <cell r="AF43">
            <v>28.985804931760935</v>
          </cell>
          <cell r="AG43">
            <v>29.710450055054956</v>
          </cell>
          <cell r="AH43">
            <v>30.453211306431328</v>
          </cell>
        </row>
        <row r="44">
          <cell r="A44" t="str">
            <v>Sales Support (LLDPE)</v>
          </cell>
          <cell r="B44">
            <v>0</v>
          </cell>
          <cell r="C44">
            <v>0</v>
          </cell>
          <cell r="D44" t="str">
            <v>$/ton</v>
          </cell>
          <cell r="E44">
            <v>28.337500000000002</v>
          </cell>
          <cell r="F44">
            <v>27.054449999999999</v>
          </cell>
          <cell r="G44">
            <v>32.823</v>
          </cell>
          <cell r="H44">
            <v>33.588600000000007</v>
          </cell>
          <cell r="I44">
            <v>34.4925</v>
          </cell>
          <cell r="J44">
            <v>34.9253</v>
          </cell>
          <cell r="K44">
            <v>35.335700000000003</v>
          </cell>
          <cell r="L44">
            <v>35.782650000000004</v>
          </cell>
          <cell r="M44">
            <v>36.209550000000007</v>
          </cell>
          <cell r="N44">
            <v>36.612450000000003</v>
          </cell>
          <cell r="O44">
            <v>37.147500000000001</v>
          </cell>
          <cell r="P44">
            <v>37.758000000000003</v>
          </cell>
          <cell r="Q44">
            <v>38.352499999999999</v>
          </cell>
          <cell r="R44">
            <v>38.988</v>
          </cell>
          <cell r="S44">
            <v>39.606499999999997</v>
          </cell>
          <cell r="T44">
            <v>40.236000000000004</v>
          </cell>
          <cell r="U44">
            <v>40.949400000000004</v>
          </cell>
          <cell r="V44">
            <v>41.600500000000004</v>
          </cell>
          <cell r="W44">
            <v>42.260400000000004</v>
          </cell>
          <cell r="X44">
            <v>42.901300000000006</v>
          </cell>
          <cell r="Y44">
            <v>43.571141726190483</v>
          </cell>
          <cell r="Z44">
            <v>44.251442061750502</v>
          </cell>
          <cell r="AA44">
            <v>44.942364302732962</v>
          </cell>
          <cell r="AB44">
            <v>45.644074294822332</v>
          </cell>
          <cell r="AC44">
            <v>46.356740473143482</v>
          </cell>
          <cell r="AD44">
            <v>47.080533902692096</v>
          </cell>
          <cell r="AE44">
            <v>47.815628319396204</v>
          </cell>
          <cell r="AF44">
            <v>48.562200171818994</v>
          </cell>
          <cell r="AG44">
            <v>49.320428663512679</v>
          </cell>
          <cell r="AH44">
            <v>50.090495796033636</v>
          </cell>
        </row>
        <row r="45">
          <cell r="A45" t="str">
            <v>Sales Support (HDPE)</v>
          </cell>
          <cell r="B45">
            <v>0</v>
          </cell>
          <cell r="C45">
            <v>0</v>
          </cell>
          <cell r="D45" t="str">
            <v>$/ton</v>
          </cell>
          <cell r="E45">
            <v>28.911500000000004</v>
          </cell>
          <cell r="F45">
            <v>25.627849999999999</v>
          </cell>
          <cell r="G45">
            <v>31.364200000000004</v>
          </cell>
          <cell r="H45">
            <v>32.146800000000006</v>
          </cell>
          <cell r="I45">
            <v>33.014250000000004</v>
          </cell>
          <cell r="J45">
            <v>33.40925</v>
          </cell>
          <cell r="K45">
            <v>33.781850000000006</v>
          </cell>
          <cell r="L45">
            <v>34.249950000000005</v>
          </cell>
          <cell r="M45">
            <v>34.577400000000004</v>
          </cell>
          <cell r="N45">
            <v>34.939800000000005</v>
          </cell>
          <cell r="O45">
            <v>35.496500000000005</v>
          </cell>
          <cell r="P45">
            <v>36.000300000000003</v>
          </cell>
          <cell r="Q45">
            <v>36.618300000000005</v>
          </cell>
          <cell r="R45">
            <v>37.141200000000005</v>
          </cell>
          <cell r="S45">
            <v>37.713799999999999</v>
          </cell>
          <cell r="T45">
            <v>38.296050000000001</v>
          </cell>
          <cell r="U45">
            <v>38.960850000000008</v>
          </cell>
          <cell r="V45">
            <v>39.562000000000005</v>
          </cell>
          <cell r="W45">
            <v>40.170600000000007</v>
          </cell>
          <cell r="X45">
            <v>40.760200000000005</v>
          </cell>
          <cell r="Y45">
            <v>41.37670784200386</v>
          </cell>
          <cell r="Z45">
            <v>42.002540513602568</v>
          </cell>
          <cell r="AA45">
            <v>42.637839055089621</v>
          </cell>
          <cell r="AB45">
            <v>43.2827466400269</v>
          </cell>
          <cell r="AC45">
            <v>43.937408607510925</v>
          </cell>
          <cell r="AD45">
            <v>44.601972494927026</v>
          </cell>
          <cell r="AE45">
            <v>45.276588071199029</v>
          </cell>
          <cell r="AF45">
            <v>45.961407370541821</v>
          </cell>
          <cell r="AG45">
            <v>46.656584726724383</v>
          </cell>
          <cell r="AH45">
            <v>47.362276807851131</v>
          </cell>
        </row>
        <row r="46">
          <cell r="A46" t="str">
            <v>Sales Support (MEG)</v>
          </cell>
          <cell r="B46">
            <v>0</v>
          </cell>
          <cell r="C46">
            <v>0</v>
          </cell>
          <cell r="D46" t="str">
            <v>$/ton</v>
          </cell>
          <cell r="E46">
            <v>12.949374899999999</v>
          </cell>
          <cell r="F46">
            <v>12.289139999999998</v>
          </cell>
          <cell r="G46">
            <v>14.25456</v>
          </cell>
          <cell r="H46">
            <v>13.200480000000001</v>
          </cell>
          <cell r="I46">
            <v>13.567049999999998</v>
          </cell>
          <cell r="J46">
            <v>13.711829999999999</v>
          </cell>
          <cell r="K46">
            <v>13.84653</v>
          </cell>
          <cell r="L46">
            <v>14.00652</v>
          </cell>
          <cell r="M46">
            <v>14.181570000000001</v>
          </cell>
          <cell r="N46">
            <v>14.310449999999999</v>
          </cell>
          <cell r="O46">
            <v>14.5161</v>
          </cell>
          <cell r="P46">
            <v>14.725619999999999</v>
          </cell>
          <cell r="Q46">
            <v>14.96748</v>
          </cell>
          <cell r="R46">
            <v>15.184800000000001</v>
          </cell>
          <cell r="S46">
            <v>15.478079999999999</v>
          </cell>
          <cell r="T46">
            <v>15.69204</v>
          </cell>
          <cell r="U46">
            <v>15.952590000000001</v>
          </cell>
          <cell r="V46">
            <v>16.217400000000001</v>
          </cell>
          <cell r="W46">
            <v>16.4862</v>
          </cell>
          <cell r="X46">
            <v>16.700579999999999</v>
          </cell>
          <cell r="Y46">
            <v>16.925214561971831</v>
          </cell>
          <cell r="Z46">
            <v>17.152870616995536</v>
          </cell>
          <cell r="AA46">
            <v>17.383588806280478</v>
          </cell>
          <cell r="AB46">
            <v>17.617410317688893</v>
          </cell>
          <cell r="AC46">
            <v>17.854376893088794</v>
          </cell>
          <cell r="AD46">
            <v>18.784209224817129</v>
          </cell>
          <cell r="AE46">
            <v>19.15461403590524</v>
          </cell>
          <cell r="AF46">
            <v>19.531798956782254</v>
          </cell>
          <cell r="AG46">
            <v>19.915871489930669</v>
          </cell>
          <cell r="AH46">
            <v>20.306940275388524</v>
          </cell>
        </row>
        <row r="47">
          <cell r="A47" t="str">
            <v>Sales Support (Styrene)</v>
          </cell>
          <cell r="B47">
            <v>0</v>
          </cell>
          <cell r="C47">
            <v>0</v>
          </cell>
          <cell r="D47" t="str">
            <v>$/ton</v>
          </cell>
          <cell r="E47">
            <v>14.783849999999999</v>
          </cell>
          <cell r="F47">
            <v>12.319709999999999</v>
          </cell>
          <cell r="G47">
            <v>17.161739999999998</v>
          </cell>
          <cell r="H47">
            <v>17.39772</v>
          </cell>
          <cell r="I47">
            <v>17.640449999999998</v>
          </cell>
          <cell r="J47">
            <v>17.788319999999999</v>
          </cell>
          <cell r="K47">
            <v>18.024660000000001</v>
          </cell>
          <cell r="L47">
            <v>18.286290000000001</v>
          </cell>
          <cell r="M47">
            <v>18.53397</v>
          </cell>
          <cell r="N47">
            <v>18.808020000000003</v>
          </cell>
          <cell r="O47">
            <v>19.126199999999997</v>
          </cell>
          <cell r="P47">
            <v>19.451879999999999</v>
          </cell>
          <cell r="Q47">
            <v>19.809899999999999</v>
          </cell>
          <cell r="R47">
            <v>20.191680000000002</v>
          </cell>
          <cell r="S47">
            <v>20.525279999999999</v>
          </cell>
          <cell r="T47">
            <v>20.908349999999999</v>
          </cell>
          <cell r="U47">
            <v>21.299579999999999</v>
          </cell>
          <cell r="V47">
            <v>21.698699999999999</v>
          </cell>
          <cell r="W47">
            <v>22.105439999999998</v>
          </cell>
          <cell r="X47">
            <v>22.50534</v>
          </cell>
          <cell r="Y47">
            <v>22.922587112394957</v>
          </cell>
          <cell r="Z47">
            <v>23.347569951190934</v>
          </cell>
          <cell r="AA47">
            <v>23.780431936105341</v>
          </cell>
          <cell r="AB47">
            <v>24.221319145845101</v>
          </cell>
          <cell r="AC47">
            <v>24.670380367404093</v>
          </cell>
          <cell r="AD47">
            <v>25.117452178491529</v>
          </cell>
          <cell r="AE47">
            <v>25.567342989755481</v>
          </cell>
          <cell r="AF47">
            <v>26.025292012521998</v>
          </cell>
          <cell r="AG47">
            <v>26.491443581307347</v>
          </cell>
          <cell r="AH47">
            <v>26.965944615873006</v>
          </cell>
        </row>
        <row r="48">
          <cell r="A48" t="str">
            <v>LLDPE price (Western Europe)</v>
          </cell>
          <cell r="B48">
            <v>0</v>
          </cell>
          <cell r="C48">
            <v>0</v>
          </cell>
          <cell r="D48" t="str">
            <v>$/ton</v>
          </cell>
          <cell r="E48">
            <v>623.77266671155905</v>
          </cell>
          <cell r="F48">
            <v>640.02978399268511</v>
          </cell>
          <cell r="G48">
            <v>627.34633444320423</v>
          </cell>
          <cell r="H48">
            <v>635.86551514896905</v>
          </cell>
          <cell r="I48">
            <v>633.51709875493214</v>
          </cell>
          <cell r="J48">
            <v>641.18641724338329</v>
          </cell>
          <cell r="K48">
            <v>649.86760728656941</v>
          </cell>
          <cell r="L48">
            <v>657.87986305880293</v>
          </cell>
          <cell r="M48">
            <v>687.70567510775834</v>
          </cell>
          <cell r="N48">
            <v>696.95216420479846</v>
          </cell>
          <cell r="O48">
            <v>709.64221079593221</v>
          </cell>
          <cell r="P48">
            <v>721.791848865926</v>
          </cell>
          <cell r="Q48">
            <v>734.0430353444757</v>
          </cell>
          <cell r="R48">
            <v>746.98656513890705</v>
          </cell>
          <cell r="S48">
            <v>759.04804488098137</v>
          </cell>
          <cell r="T48">
            <v>772.43386986249266</v>
          </cell>
          <cell r="U48">
            <v>785.98212635551852</v>
          </cell>
          <cell r="V48">
            <v>799.97670010011939</v>
          </cell>
          <cell r="W48">
            <v>814.29517281285587</v>
          </cell>
          <cell r="X48">
            <v>828.40877348461947</v>
          </cell>
          <cell r="Y48">
            <v>843.12916054936306</v>
          </cell>
          <cell r="Z48">
            <v>858.10104172724584</v>
          </cell>
          <cell r="AA48">
            <v>873.32841939239927</v>
          </cell>
          <cell r="AB48">
            <v>888.8153507186795</v>
          </cell>
          <cell r="AC48">
            <v>904.5659481423636</v>
          </cell>
          <cell r="AD48">
            <v>920.58437981796931</v>
          </cell>
          <cell r="AE48">
            <v>936.87487006664117</v>
          </cell>
          <cell r="AF48">
            <v>953.44169981653147</v>
          </cell>
          <cell r="AG48">
            <v>970.28920703457686</v>
          </cell>
          <cell r="AH48">
            <v>987.42178714904992</v>
          </cell>
        </row>
        <row r="49">
          <cell r="A49" t="str">
            <v>LLDPE price (East Asia)</v>
          </cell>
          <cell r="B49">
            <v>0</v>
          </cell>
          <cell r="C49">
            <v>0</v>
          </cell>
          <cell r="D49" t="str">
            <v>$/ton</v>
          </cell>
          <cell r="E49">
            <v>549.74749999999995</v>
          </cell>
          <cell r="F49">
            <v>524.85632999999996</v>
          </cell>
          <cell r="G49">
            <v>636.76620000000003</v>
          </cell>
          <cell r="H49">
            <v>651.61883999999998</v>
          </cell>
          <cell r="I49">
            <v>669.15449999999998</v>
          </cell>
          <cell r="J49">
            <v>677.55081999999993</v>
          </cell>
          <cell r="K49">
            <v>685.51258000000007</v>
          </cell>
          <cell r="L49">
            <v>694.18340999999998</v>
          </cell>
          <cell r="M49">
            <v>724.19100000000003</v>
          </cell>
          <cell r="N49">
            <v>732.24900000000002</v>
          </cell>
          <cell r="O49">
            <v>742.95</v>
          </cell>
          <cell r="P49">
            <v>755.16000000000008</v>
          </cell>
          <cell r="Q49">
            <v>767.05000000000007</v>
          </cell>
          <cell r="R49">
            <v>779.7600000000001</v>
          </cell>
          <cell r="S49">
            <v>792.13</v>
          </cell>
          <cell r="T49">
            <v>804.72</v>
          </cell>
          <cell r="U49">
            <v>818.98800000000006</v>
          </cell>
          <cell r="V49">
            <v>832.01</v>
          </cell>
          <cell r="W49">
            <v>845.20799999999997</v>
          </cell>
          <cell r="X49">
            <v>858.02600000000007</v>
          </cell>
          <cell r="Y49">
            <v>871.42283452380957</v>
          </cell>
          <cell r="Z49">
            <v>885.02884123500996</v>
          </cell>
          <cell r="AA49">
            <v>898.84728605465909</v>
          </cell>
          <cell r="AB49">
            <v>912.88148589644652</v>
          </cell>
          <cell r="AC49">
            <v>927.13480946286973</v>
          </cell>
          <cell r="AD49">
            <v>941.61067805384187</v>
          </cell>
          <cell r="AE49">
            <v>956.31256638792399</v>
          </cell>
          <cell r="AF49">
            <v>971.2440034363799</v>
          </cell>
          <cell r="AG49">
            <v>986.40857327025356</v>
          </cell>
          <cell r="AH49">
            <v>1001.8099159206726</v>
          </cell>
        </row>
        <row r="50">
          <cell r="A50" t="str">
            <v>LLDPE price (West Asia)</v>
          </cell>
          <cell r="B50">
            <v>0</v>
          </cell>
          <cell r="C50">
            <v>0</v>
          </cell>
          <cell r="D50" t="str">
            <v>$/ton</v>
          </cell>
          <cell r="E50">
            <v>549.74749999999995</v>
          </cell>
          <cell r="F50">
            <v>524.85632999999996</v>
          </cell>
          <cell r="G50">
            <v>636.76620000000003</v>
          </cell>
          <cell r="H50">
            <v>651.61883999999998</v>
          </cell>
          <cell r="I50">
            <v>669.15449999999998</v>
          </cell>
          <cell r="J50">
            <v>677.55081999999993</v>
          </cell>
          <cell r="K50">
            <v>685.51258000000007</v>
          </cell>
          <cell r="L50">
            <v>694.18340999999998</v>
          </cell>
          <cell r="M50">
            <v>724.19100000000003</v>
          </cell>
          <cell r="N50">
            <v>732.24900000000002</v>
          </cell>
          <cell r="O50">
            <v>742.95</v>
          </cell>
          <cell r="P50">
            <v>755.16000000000008</v>
          </cell>
          <cell r="Q50">
            <v>767.05000000000007</v>
          </cell>
          <cell r="R50">
            <v>779.7600000000001</v>
          </cell>
          <cell r="S50">
            <v>792.13</v>
          </cell>
          <cell r="T50">
            <v>804.72</v>
          </cell>
          <cell r="U50">
            <v>818.98800000000006</v>
          </cell>
          <cell r="V50">
            <v>832.01</v>
          </cell>
          <cell r="W50">
            <v>845.20799999999997</v>
          </cell>
          <cell r="X50">
            <v>858.02600000000007</v>
          </cell>
          <cell r="Y50">
            <v>871.42283452380957</v>
          </cell>
          <cell r="Z50">
            <v>885.02884123500996</v>
          </cell>
          <cell r="AA50">
            <v>898.84728605465909</v>
          </cell>
          <cell r="AB50">
            <v>912.88148589644652</v>
          </cell>
          <cell r="AC50">
            <v>927.13480946286973</v>
          </cell>
          <cell r="AD50">
            <v>941.61067805384187</v>
          </cell>
          <cell r="AE50">
            <v>956.31256638792399</v>
          </cell>
          <cell r="AF50">
            <v>971.2440034363799</v>
          </cell>
          <cell r="AG50">
            <v>986.40857327025356</v>
          </cell>
          <cell r="AH50">
            <v>1001.8099159206726</v>
          </cell>
        </row>
        <row r="51">
          <cell r="A51" t="str">
            <v>LLDPE price (Iran)</v>
          </cell>
          <cell r="B51">
            <v>0</v>
          </cell>
          <cell r="C51">
            <v>0</v>
          </cell>
          <cell r="D51" t="str">
            <v>$/ton</v>
          </cell>
          <cell r="E51">
            <v>549.74749999999995</v>
          </cell>
          <cell r="F51">
            <v>524.85632999999996</v>
          </cell>
          <cell r="G51">
            <v>636.76620000000003</v>
          </cell>
          <cell r="H51">
            <v>651.61883999999998</v>
          </cell>
          <cell r="I51">
            <v>669.15449999999998</v>
          </cell>
          <cell r="J51">
            <v>677.55081999999993</v>
          </cell>
          <cell r="K51">
            <v>685.51258000000007</v>
          </cell>
          <cell r="L51">
            <v>694.18340999999998</v>
          </cell>
          <cell r="M51">
            <v>724.19100000000003</v>
          </cell>
          <cell r="N51">
            <v>732.24900000000002</v>
          </cell>
          <cell r="O51">
            <v>742.95</v>
          </cell>
          <cell r="P51">
            <v>755.16000000000008</v>
          </cell>
          <cell r="Q51">
            <v>767.05000000000007</v>
          </cell>
          <cell r="R51">
            <v>779.7600000000001</v>
          </cell>
          <cell r="S51">
            <v>792.13</v>
          </cell>
          <cell r="T51">
            <v>804.72</v>
          </cell>
          <cell r="U51">
            <v>818.98800000000006</v>
          </cell>
          <cell r="V51">
            <v>832.01</v>
          </cell>
          <cell r="W51">
            <v>845.20799999999997</v>
          </cell>
          <cell r="X51">
            <v>858.02600000000007</v>
          </cell>
          <cell r="Y51">
            <v>871.42283452380957</v>
          </cell>
          <cell r="Z51">
            <v>885.02884123500996</v>
          </cell>
          <cell r="AA51">
            <v>898.84728605465909</v>
          </cell>
          <cell r="AB51">
            <v>912.88148589644652</v>
          </cell>
          <cell r="AC51">
            <v>927.13480946286973</v>
          </cell>
          <cell r="AD51">
            <v>941.61067805384187</v>
          </cell>
          <cell r="AE51">
            <v>956.31256638792399</v>
          </cell>
          <cell r="AF51">
            <v>971.2440034363799</v>
          </cell>
          <cell r="AG51">
            <v>986.40857327025356</v>
          </cell>
          <cell r="AH51">
            <v>1001.8099159206726</v>
          </cell>
        </row>
        <row r="52">
          <cell r="A52" t="str">
            <v>HDPE price (Western Europe)</v>
          </cell>
          <cell r="B52">
            <v>0</v>
          </cell>
          <cell r="C52">
            <v>0</v>
          </cell>
          <cell r="D52" t="str">
            <v>$/ton</v>
          </cell>
          <cell r="E52">
            <v>710.47582374822866</v>
          </cell>
          <cell r="F52">
            <v>646.76540813299584</v>
          </cell>
          <cell r="G52">
            <v>633.96608778763573</v>
          </cell>
          <cell r="H52">
            <v>642.58258064594872</v>
          </cell>
          <cell r="I52">
            <v>640.22330870601218</v>
          </cell>
          <cell r="J52">
            <v>647.9824670444159</v>
          </cell>
          <cell r="K52">
            <v>656.763798109915</v>
          </cell>
          <cell r="L52">
            <v>664.86968801856585</v>
          </cell>
          <cell r="M52">
            <v>695.02131343273174</v>
          </cell>
          <cell r="N52">
            <v>704.37531204646177</v>
          </cell>
          <cell r="O52">
            <v>717.20787474650251</v>
          </cell>
          <cell r="P52">
            <v>729.49520593423961</v>
          </cell>
          <cell r="Q52">
            <v>741.8853159858279</v>
          </cell>
          <cell r="R52">
            <v>754.97566687474807</v>
          </cell>
          <cell r="S52">
            <v>767.17537561769859</v>
          </cell>
          <cell r="T52">
            <v>780.71328773578159</v>
          </cell>
          <cell r="U52">
            <v>794.41588044057153</v>
          </cell>
          <cell r="V52">
            <v>808.56988840630311</v>
          </cell>
          <cell r="W52">
            <v>823.05167924347916</v>
          </cell>
          <cell r="X52">
            <v>837.32680459758592</v>
          </cell>
          <cell r="Y52">
            <v>852.21570455409187</v>
          </cell>
          <cell r="Z52">
            <v>867.35928280131304</v>
          </cell>
          <cell r="AA52">
            <v>882.76160188080587</v>
          </cell>
          <cell r="AB52">
            <v>898.42678027076079</v>
          </cell>
          <cell r="AC52">
            <v>914.35899287017992</v>
          </cell>
          <cell r="AD52">
            <v>930.56247147658655</v>
          </cell>
          <cell r="AE52">
            <v>947.04150525671332</v>
          </cell>
          <cell r="AF52">
            <v>963.80044120960645</v>
          </cell>
          <cell r="AG52">
            <v>980.84368462155533</v>
          </cell>
          <cell r="AH52">
            <v>998.17569951223538</v>
          </cell>
        </row>
        <row r="53">
          <cell r="A53" t="str">
            <v>HDPE price (East Asia)</v>
          </cell>
          <cell r="B53">
            <v>0</v>
          </cell>
          <cell r="C53">
            <v>0</v>
          </cell>
          <cell r="D53" t="str">
            <v>$/ton</v>
          </cell>
          <cell r="E53">
            <v>560.88310000000001</v>
          </cell>
          <cell r="F53">
            <v>497.1802899999999</v>
          </cell>
          <cell r="G53">
            <v>608.46547999999996</v>
          </cell>
          <cell r="H53">
            <v>623.64792</v>
          </cell>
          <cell r="I53">
            <v>640.47645</v>
          </cell>
          <cell r="J53">
            <v>648.1394499999999</v>
          </cell>
          <cell r="K53">
            <v>655.36788999999999</v>
          </cell>
          <cell r="L53">
            <v>664.44902999999999</v>
          </cell>
          <cell r="M53">
            <v>691.548</v>
          </cell>
          <cell r="N53">
            <v>698.79600000000005</v>
          </cell>
          <cell r="O53">
            <v>709.93000000000006</v>
          </cell>
          <cell r="P53">
            <v>720.00599999999997</v>
          </cell>
          <cell r="Q53">
            <v>732.36599999999999</v>
          </cell>
          <cell r="R53">
            <v>742.82400000000007</v>
          </cell>
          <cell r="S53">
            <v>754.27599999999995</v>
          </cell>
          <cell r="T53">
            <v>765.92100000000005</v>
          </cell>
          <cell r="U53">
            <v>779.2170000000001</v>
          </cell>
          <cell r="V53">
            <v>791.24</v>
          </cell>
          <cell r="W53">
            <v>803.41200000000003</v>
          </cell>
          <cell r="X53">
            <v>815.20400000000006</v>
          </cell>
          <cell r="Y53">
            <v>827.53415684007712</v>
          </cell>
          <cell r="Z53">
            <v>840.05081027205131</v>
          </cell>
          <cell r="AA53">
            <v>852.75678110179228</v>
          </cell>
          <cell r="AB53">
            <v>865.65493280053795</v>
          </cell>
          <cell r="AC53">
            <v>878.74817215021847</v>
          </cell>
          <cell r="AD53">
            <v>892.0394498985404</v>
          </cell>
          <cell r="AE53">
            <v>905.53176142398058</v>
          </cell>
          <cell r="AF53">
            <v>919.22814741083641</v>
          </cell>
          <cell r="AG53">
            <v>933.13169453448756</v>
          </cell>
          <cell r="AH53">
            <v>947.24553615702268</v>
          </cell>
        </row>
        <row r="54">
          <cell r="A54" t="str">
            <v>HDPE price (West Asia)</v>
          </cell>
          <cell r="B54">
            <v>0</v>
          </cell>
          <cell r="C54">
            <v>0</v>
          </cell>
          <cell r="D54" t="str">
            <v>$/ton</v>
          </cell>
          <cell r="E54">
            <v>560.88310000000001</v>
          </cell>
          <cell r="F54">
            <v>497.1802899999999</v>
          </cell>
          <cell r="G54">
            <v>608.46547999999996</v>
          </cell>
          <cell r="H54">
            <v>623.64792</v>
          </cell>
          <cell r="I54">
            <v>640.47645</v>
          </cell>
          <cell r="J54">
            <v>648.1394499999999</v>
          </cell>
          <cell r="K54">
            <v>655.36788999999999</v>
          </cell>
          <cell r="L54">
            <v>664.44902999999999</v>
          </cell>
          <cell r="M54">
            <v>691.548</v>
          </cell>
          <cell r="N54">
            <v>698.79600000000005</v>
          </cell>
          <cell r="O54">
            <v>709.93000000000006</v>
          </cell>
          <cell r="P54">
            <v>720.00599999999997</v>
          </cell>
          <cell r="Q54">
            <v>732.36599999999999</v>
          </cell>
          <cell r="R54">
            <v>742.82400000000007</v>
          </cell>
          <cell r="S54">
            <v>754.27599999999995</v>
          </cell>
          <cell r="T54">
            <v>765.92100000000005</v>
          </cell>
          <cell r="U54">
            <v>779.2170000000001</v>
          </cell>
          <cell r="V54">
            <v>791.24</v>
          </cell>
          <cell r="W54">
            <v>803.41200000000003</v>
          </cell>
          <cell r="X54">
            <v>815.20400000000006</v>
          </cell>
          <cell r="Y54">
            <v>827.53415684007712</v>
          </cell>
          <cell r="Z54">
            <v>840.05081027205131</v>
          </cell>
          <cell r="AA54">
            <v>852.75678110179228</v>
          </cell>
          <cell r="AB54">
            <v>865.65493280053795</v>
          </cell>
          <cell r="AC54">
            <v>878.74817215021847</v>
          </cell>
          <cell r="AD54">
            <v>892.0394498985404</v>
          </cell>
          <cell r="AE54">
            <v>905.53176142398058</v>
          </cell>
          <cell r="AF54">
            <v>919.22814741083641</v>
          </cell>
          <cell r="AG54">
            <v>933.13169453448756</v>
          </cell>
          <cell r="AH54">
            <v>947.24553615702268</v>
          </cell>
        </row>
        <row r="55">
          <cell r="A55" t="str">
            <v>HDPE price (Iran)</v>
          </cell>
          <cell r="B55">
            <v>0</v>
          </cell>
          <cell r="C55">
            <v>0</v>
          </cell>
          <cell r="D55" t="str">
            <v>$/ton</v>
          </cell>
          <cell r="E55">
            <v>560.88310000000001</v>
          </cell>
          <cell r="F55">
            <v>497.1802899999999</v>
          </cell>
          <cell r="G55">
            <v>608.46547999999996</v>
          </cell>
          <cell r="H55">
            <v>623.64792</v>
          </cell>
          <cell r="I55">
            <v>640.47645</v>
          </cell>
          <cell r="J55">
            <v>648.1394499999999</v>
          </cell>
          <cell r="K55">
            <v>655.36788999999999</v>
          </cell>
          <cell r="L55">
            <v>664.44902999999999</v>
          </cell>
          <cell r="M55">
            <v>691.548</v>
          </cell>
          <cell r="N55">
            <v>698.79600000000005</v>
          </cell>
          <cell r="O55">
            <v>709.93000000000006</v>
          </cell>
          <cell r="P55">
            <v>720.00599999999997</v>
          </cell>
          <cell r="Q55">
            <v>732.36599999999999</v>
          </cell>
          <cell r="R55">
            <v>742.82400000000007</v>
          </cell>
          <cell r="S55">
            <v>754.27599999999995</v>
          </cell>
          <cell r="T55">
            <v>765.92100000000005</v>
          </cell>
          <cell r="U55">
            <v>779.2170000000001</v>
          </cell>
          <cell r="V55">
            <v>791.24</v>
          </cell>
          <cell r="W55">
            <v>803.41200000000003</v>
          </cell>
          <cell r="X55">
            <v>815.20400000000006</v>
          </cell>
          <cell r="Y55">
            <v>827.53415684007712</v>
          </cell>
          <cell r="Z55">
            <v>840.05081027205131</v>
          </cell>
          <cell r="AA55">
            <v>852.75678110179228</v>
          </cell>
          <cell r="AB55">
            <v>865.65493280053795</v>
          </cell>
          <cell r="AC55">
            <v>878.74817215021847</v>
          </cell>
          <cell r="AD55">
            <v>892.0394498985404</v>
          </cell>
          <cell r="AE55">
            <v>905.53176142398058</v>
          </cell>
          <cell r="AF55">
            <v>919.22814741083641</v>
          </cell>
          <cell r="AG55">
            <v>933.13169453448756</v>
          </cell>
          <cell r="AH55">
            <v>947.24553615702268</v>
          </cell>
        </row>
        <row r="56">
          <cell r="A56" t="str">
            <v>MEG price (Western Europe)</v>
          </cell>
          <cell r="B56">
            <v>0</v>
          </cell>
          <cell r="C56">
            <v>0</v>
          </cell>
          <cell r="D56" t="str">
            <v>$/ton</v>
          </cell>
          <cell r="E56">
            <v>484.16326052190362</v>
          </cell>
          <cell r="F56">
            <v>479.73806619966626</v>
          </cell>
          <cell r="G56">
            <v>466.09303650331174</v>
          </cell>
          <cell r="H56">
            <v>473.50223528434793</v>
          </cell>
          <cell r="I56">
            <v>472.95603625930096</v>
          </cell>
          <cell r="J56">
            <v>479.99094124938068</v>
          </cell>
          <cell r="K56">
            <v>487.30418643045442</v>
          </cell>
          <cell r="L56">
            <v>494.24702588464498</v>
          </cell>
          <cell r="M56">
            <v>517.54757332743452</v>
          </cell>
          <cell r="N56">
            <v>525.44695523748794</v>
          </cell>
          <cell r="O56">
            <v>535.71741555355686</v>
          </cell>
          <cell r="P56">
            <v>545.77190434657768</v>
          </cell>
          <cell r="Q56">
            <v>555.88661259770072</v>
          </cell>
          <cell r="R56">
            <v>566.59910882585132</v>
          </cell>
          <cell r="S56">
            <v>576.80097776295861</v>
          </cell>
          <cell r="T56">
            <v>587.87144234722132</v>
          </cell>
          <cell r="U56">
            <v>599.13571767130463</v>
          </cell>
          <cell r="V56">
            <v>610.7590788611634</v>
          </cell>
          <cell r="W56">
            <v>622.67076125130927</v>
          </cell>
          <cell r="X56">
            <v>634.46736870155826</v>
          </cell>
          <cell r="Y56">
            <v>646.75324600086162</v>
          </cell>
          <cell r="Z56">
            <v>659.25687505969177</v>
          </cell>
          <cell r="AA56">
            <v>671.9814647927127</v>
          </cell>
          <cell r="AB56">
            <v>684.93024846547235</v>
          </cell>
          <cell r="AC56">
            <v>698.10648290637471</v>
          </cell>
          <cell r="AD56">
            <v>711.5134476640311</v>
          </cell>
          <cell r="AE56">
            <v>725.15444410775399</v>
          </cell>
          <cell r="AF56">
            <v>739.03279446887291</v>
          </cell>
          <cell r="AG56">
            <v>753.15184082048063</v>
          </cell>
          <cell r="AH56">
            <v>767.51494399312548</v>
          </cell>
        </row>
        <row r="57">
          <cell r="A57" t="str">
            <v>MEG price (East Asia)</v>
          </cell>
          <cell r="B57">
            <v>0</v>
          </cell>
          <cell r="C57">
            <v>0</v>
          </cell>
          <cell r="D57" t="str">
            <v>$/ton</v>
          </cell>
          <cell r="E57">
            <v>418.69645509999998</v>
          </cell>
          <cell r="F57">
            <v>397.34885999999995</v>
          </cell>
          <cell r="G57">
            <v>460.89744000000002</v>
          </cell>
          <cell r="H57">
            <v>426.81551999999999</v>
          </cell>
          <cell r="I57">
            <v>438.66795000000002</v>
          </cell>
          <cell r="J57">
            <v>443.34916999999996</v>
          </cell>
          <cell r="K57">
            <v>447.70446999999996</v>
          </cell>
          <cell r="L57">
            <v>452.87747999999999</v>
          </cell>
          <cell r="M57">
            <v>472.71900000000005</v>
          </cell>
          <cell r="N57">
            <v>477.01500000000004</v>
          </cell>
          <cell r="O57">
            <v>483.87</v>
          </cell>
          <cell r="P57">
            <v>490.85400000000004</v>
          </cell>
          <cell r="Q57">
            <v>498.91600000000005</v>
          </cell>
          <cell r="R57">
            <v>506.16</v>
          </cell>
          <cell r="S57">
            <v>515.93599999999992</v>
          </cell>
          <cell r="T57">
            <v>523.06799999999998</v>
          </cell>
          <cell r="U57">
            <v>531.75300000000004</v>
          </cell>
          <cell r="V57">
            <v>540.58000000000004</v>
          </cell>
          <cell r="W57">
            <v>549.54</v>
          </cell>
          <cell r="X57">
            <v>556.68600000000004</v>
          </cell>
          <cell r="Y57">
            <v>564.17381873239435</v>
          </cell>
          <cell r="Z57">
            <v>571.76235389985129</v>
          </cell>
          <cell r="AA57">
            <v>579.45296020934916</v>
          </cell>
          <cell r="AB57">
            <v>587.24701058962989</v>
          </cell>
          <cell r="AC57">
            <v>595.14589643629313</v>
          </cell>
          <cell r="AD57">
            <v>626.14030749390429</v>
          </cell>
          <cell r="AE57">
            <v>638.48713453017479</v>
          </cell>
          <cell r="AF57">
            <v>651.05996522607506</v>
          </cell>
          <cell r="AG57">
            <v>663.86238299768911</v>
          </cell>
          <cell r="AH57">
            <v>676.89800917961747</v>
          </cell>
        </row>
        <row r="58">
          <cell r="A58" t="str">
            <v>MEG price (West Asia)</v>
          </cell>
          <cell r="B58">
            <v>0</v>
          </cell>
          <cell r="C58">
            <v>0</v>
          </cell>
          <cell r="D58" t="str">
            <v>$/ton</v>
          </cell>
          <cell r="E58">
            <v>418.69645509999998</v>
          </cell>
          <cell r="F58">
            <v>397.34885999999995</v>
          </cell>
          <cell r="G58">
            <v>460.89744000000002</v>
          </cell>
          <cell r="H58">
            <v>426.81551999999999</v>
          </cell>
          <cell r="I58">
            <v>438.66795000000002</v>
          </cell>
          <cell r="J58">
            <v>443.34916999999996</v>
          </cell>
          <cell r="K58">
            <v>447.70446999999996</v>
          </cell>
          <cell r="L58">
            <v>452.87747999999999</v>
          </cell>
          <cell r="M58">
            <v>472.71900000000005</v>
          </cell>
          <cell r="N58">
            <v>477.01500000000004</v>
          </cell>
          <cell r="O58">
            <v>483.87</v>
          </cell>
          <cell r="P58">
            <v>490.85400000000004</v>
          </cell>
          <cell r="Q58">
            <v>498.91600000000005</v>
          </cell>
          <cell r="R58">
            <v>506.16</v>
          </cell>
          <cell r="S58">
            <v>515.93599999999992</v>
          </cell>
          <cell r="T58">
            <v>523.06799999999998</v>
          </cell>
          <cell r="U58">
            <v>531.75300000000004</v>
          </cell>
          <cell r="V58">
            <v>540.58000000000004</v>
          </cell>
          <cell r="W58">
            <v>549.54</v>
          </cell>
          <cell r="X58">
            <v>556.68600000000004</v>
          </cell>
          <cell r="Y58">
            <v>564.17381873239435</v>
          </cell>
          <cell r="Z58">
            <v>571.76235389985129</v>
          </cell>
          <cell r="AA58">
            <v>579.45296020934916</v>
          </cell>
          <cell r="AB58">
            <v>587.24701058962989</v>
          </cell>
          <cell r="AC58">
            <v>595.14589643629313</v>
          </cell>
          <cell r="AD58">
            <v>626.14030749390429</v>
          </cell>
          <cell r="AE58">
            <v>638.48713453017479</v>
          </cell>
          <cell r="AF58">
            <v>651.05996522607506</v>
          </cell>
          <cell r="AG58">
            <v>663.86238299768911</v>
          </cell>
          <cell r="AH58">
            <v>676.89800917961747</v>
          </cell>
        </row>
        <row r="59">
          <cell r="A59" t="str">
            <v>MEG price (Iran)</v>
          </cell>
          <cell r="B59">
            <v>0</v>
          </cell>
          <cell r="C59">
            <v>0</v>
          </cell>
          <cell r="D59" t="str">
            <v>$/ton</v>
          </cell>
          <cell r="E59">
            <v>418.69645509999998</v>
          </cell>
          <cell r="F59">
            <v>397.34885999999995</v>
          </cell>
          <cell r="G59">
            <v>460.89744000000002</v>
          </cell>
          <cell r="H59">
            <v>426.81551999999999</v>
          </cell>
          <cell r="I59">
            <v>438.66795000000002</v>
          </cell>
          <cell r="J59">
            <v>443.34916999999996</v>
          </cell>
          <cell r="K59">
            <v>447.70446999999996</v>
          </cell>
          <cell r="L59">
            <v>452.87747999999999</v>
          </cell>
          <cell r="M59">
            <v>472.71900000000005</v>
          </cell>
          <cell r="N59">
            <v>477.01500000000004</v>
          </cell>
          <cell r="O59">
            <v>483.87</v>
          </cell>
          <cell r="P59">
            <v>490.85400000000004</v>
          </cell>
          <cell r="Q59">
            <v>498.91600000000005</v>
          </cell>
          <cell r="R59">
            <v>506.16</v>
          </cell>
          <cell r="S59">
            <v>515.93599999999992</v>
          </cell>
          <cell r="T59">
            <v>523.06799999999998</v>
          </cell>
          <cell r="U59">
            <v>531.75300000000004</v>
          </cell>
          <cell r="V59">
            <v>540.58000000000004</v>
          </cell>
          <cell r="W59">
            <v>549.54</v>
          </cell>
          <cell r="X59">
            <v>556.68600000000004</v>
          </cell>
          <cell r="Y59">
            <v>564.17381873239435</v>
          </cell>
          <cell r="Z59">
            <v>571.76235389985129</v>
          </cell>
          <cell r="AA59">
            <v>579.45296020934916</v>
          </cell>
          <cell r="AB59">
            <v>587.24701058962989</v>
          </cell>
          <cell r="AC59">
            <v>595.14589643629313</v>
          </cell>
          <cell r="AD59">
            <v>626.14030749390429</v>
          </cell>
          <cell r="AE59">
            <v>638.48713453017479</v>
          </cell>
          <cell r="AF59">
            <v>651.05996522607506</v>
          </cell>
          <cell r="AG59">
            <v>663.86238299768911</v>
          </cell>
          <cell r="AH59">
            <v>676.89800917961747</v>
          </cell>
        </row>
        <row r="60">
          <cell r="A60" t="str">
            <v>Styrene price (Western Europe)</v>
          </cell>
          <cell r="B60">
            <v>0</v>
          </cell>
          <cell r="C60">
            <v>0</v>
          </cell>
          <cell r="D60" t="str">
            <v>$/ton</v>
          </cell>
          <cell r="E60">
            <v>587.97210304479756</v>
          </cell>
          <cell r="F60">
            <v>554.49500410845587</v>
          </cell>
          <cell r="G60">
            <v>537.03919011458345</v>
          </cell>
          <cell r="H60">
            <v>548.30309709354185</v>
          </cell>
          <cell r="I60">
            <v>563.74464231134345</v>
          </cell>
          <cell r="J60">
            <v>574.20603240267815</v>
          </cell>
          <cell r="K60">
            <v>582.59132056376382</v>
          </cell>
          <cell r="L60">
            <v>591.08804561476029</v>
          </cell>
          <cell r="M60">
            <v>618.6454608282877</v>
          </cell>
          <cell r="N60">
            <v>627.87278725387137</v>
          </cell>
          <cell r="O60">
            <v>640.42210345864532</v>
          </cell>
          <cell r="P60">
            <v>653.08803443777288</v>
          </cell>
          <cell r="Q60">
            <v>665.71677006608832</v>
          </cell>
          <cell r="R60">
            <v>679.15612927043594</v>
          </cell>
          <cell r="S60">
            <v>692.04581721398461</v>
          </cell>
          <cell r="T60">
            <v>705.8073287701153</v>
          </cell>
          <cell r="U60">
            <v>720.50817130864368</v>
          </cell>
          <cell r="V60">
            <v>735.2020851405598</v>
          </cell>
          <cell r="W60">
            <v>750.26009180149686</v>
          </cell>
          <cell r="X60">
            <v>765.19585133178259</v>
          </cell>
          <cell r="Y60">
            <v>780.75723280308512</v>
          </cell>
          <cell r="Z60">
            <v>796.61843594087031</v>
          </cell>
          <cell r="AA60">
            <v>812.78472596504275</v>
          </cell>
          <cell r="AB60">
            <v>829.26144396796076</v>
          </cell>
          <cell r="AC60">
            <v>846.05400741729659</v>
          </cell>
          <cell r="AD60">
            <v>863.18392945912819</v>
          </cell>
          <cell r="AE60">
            <v>880.65791389606761</v>
          </cell>
          <cell r="AF60">
            <v>898.48279572056185</v>
          </cell>
          <cell r="AG60">
            <v>916.66554362612135</v>
          </cell>
          <cell r="AH60">
            <v>935.21326256504722</v>
          </cell>
        </row>
        <row r="61">
          <cell r="A61" t="str">
            <v>Styrene price (East Asia)</v>
          </cell>
          <cell r="B61">
            <v>0</v>
          </cell>
          <cell r="C61">
            <v>0</v>
          </cell>
          <cell r="D61" t="str">
            <v>$/ton</v>
          </cell>
          <cell r="E61">
            <v>478.01114999999999</v>
          </cell>
          <cell r="F61">
            <v>398.33729</v>
          </cell>
          <cell r="G61">
            <v>554.89625999999998</v>
          </cell>
          <cell r="H61">
            <v>562.52627999999993</v>
          </cell>
          <cell r="I61">
            <v>570.37455</v>
          </cell>
          <cell r="J61">
            <v>575.15567999999996</v>
          </cell>
          <cell r="K61">
            <v>582.79733999999996</v>
          </cell>
          <cell r="L61">
            <v>591.25671</v>
          </cell>
          <cell r="M61">
            <v>617.79900000000009</v>
          </cell>
          <cell r="N61">
            <v>626.93400000000008</v>
          </cell>
          <cell r="O61">
            <v>637.54</v>
          </cell>
          <cell r="P61">
            <v>648.39600000000007</v>
          </cell>
          <cell r="Q61">
            <v>660.33</v>
          </cell>
          <cell r="R61">
            <v>673.05600000000004</v>
          </cell>
          <cell r="S61">
            <v>684.17599999999993</v>
          </cell>
          <cell r="T61">
            <v>696.94500000000005</v>
          </cell>
          <cell r="U61">
            <v>709.98599999999999</v>
          </cell>
          <cell r="V61">
            <v>723.29</v>
          </cell>
          <cell r="W61">
            <v>736.84800000000007</v>
          </cell>
          <cell r="X61">
            <v>750.178</v>
          </cell>
          <cell r="Y61">
            <v>764.0862370798319</v>
          </cell>
          <cell r="Z61">
            <v>778.25233170636454</v>
          </cell>
          <cell r="AA61">
            <v>792.6810645368447</v>
          </cell>
          <cell r="AB61">
            <v>807.37730486150338</v>
          </cell>
          <cell r="AC61">
            <v>822.34601224680307</v>
          </cell>
          <cell r="AD61">
            <v>837.24840594971772</v>
          </cell>
          <cell r="AE61">
            <v>852.24476632518281</v>
          </cell>
          <cell r="AF61">
            <v>867.50973375073329</v>
          </cell>
          <cell r="AG61">
            <v>883.04811937691159</v>
          </cell>
          <cell r="AH61">
            <v>898.86482052910026</v>
          </cell>
        </row>
        <row r="62">
          <cell r="A62" t="str">
            <v>Styrene price (West Asia)</v>
          </cell>
          <cell r="B62">
            <v>0</v>
          </cell>
          <cell r="C62">
            <v>0</v>
          </cell>
          <cell r="D62" t="str">
            <v>$/ton</v>
          </cell>
          <cell r="E62">
            <v>478.01114999999999</v>
          </cell>
          <cell r="F62">
            <v>398.33729</v>
          </cell>
          <cell r="G62">
            <v>554.89625999999998</v>
          </cell>
          <cell r="H62">
            <v>562.52627999999993</v>
          </cell>
          <cell r="I62">
            <v>570.37455</v>
          </cell>
          <cell r="J62">
            <v>575.15567999999996</v>
          </cell>
          <cell r="K62">
            <v>582.79733999999996</v>
          </cell>
          <cell r="L62">
            <v>591.25671</v>
          </cell>
          <cell r="M62">
            <v>617.79900000000009</v>
          </cell>
          <cell r="N62">
            <v>626.93400000000008</v>
          </cell>
          <cell r="O62">
            <v>637.54</v>
          </cell>
          <cell r="P62">
            <v>648.39600000000007</v>
          </cell>
          <cell r="Q62">
            <v>660.33</v>
          </cell>
          <cell r="R62">
            <v>673.05600000000004</v>
          </cell>
          <cell r="S62">
            <v>684.17599999999993</v>
          </cell>
          <cell r="T62">
            <v>696.94500000000005</v>
          </cell>
          <cell r="U62">
            <v>709.98599999999999</v>
          </cell>
          <cell r="V62">
            <v>723.29</v>
          </cell>
          <cell r="W62">
            <v>736.84800000000007</v>
          </cell>
          <cell r="X62">
            <v>750.178</v>
          </cell>
          <cell r="Y62">
            <v>764.0862370798319</v>
          </cell>
          <cell r="Z62">
            <v>778.25233170636454</v>
          </cell>
          <cell r="AA62">
            <v>792.6810645368447</v>
          </cell>
          <cell r="AB62">
            <v>807.37730486150338</v>
          </cell>
          <cell r="AC62">
            <v>822.34601224680307</v>
          </cell>
          <cell r="AD62">
            <v>837.24840594971772</v>
          </cell>
          <cell r="AE62">
            <v>852.24476632518281</v>
          </cell>
          <cell r="AF62">
            <v>867.50973375073329</v>
          </cell>
          <cell r="AG62">
            <v>883.04811937691159</v>
          </cell>
          <cell r="AH62">
            <v>898.86482052910026</v>
          </cell>
        </row>
        <row r="63">
          <cell r="A63" t="str">
            <v>Styrene price (Iran)</v>
          </cell>
          <cell r="B63">
            <v>0</v>
          </cell>
          <cell r="C63">
            <v>0</v>
          </cell>
          <cell r="D63" t="str">
            <v>$/ton</v>
          </cell>
          <cell r="E63">
            <v>478.01114999999999</v>
          </cell>
          <cell r="F63">
            <v>398.33729</v>
          </cell>
          <cell r="G63">
            <v>554.89625999999998</v>
          </cell>
          <cell r="H63">
            <v>562.52627999999993</v>
          </cell>
          <cell r="I63">
            <v>570.37455</v>
          </cell>
          <cell r="J63">
            <v>575.15567999999996</v>
          </cell>
          <cell r="K63">
            <v>582.79733999999996</v>
          </cell>
          <cell r="L63">
            <v>591.25671</v>
          </cell>
          <cell r="M63">
            <v>617.79900000000009</v>
          </cell>
          <cell r="N63">
            <v>626.93400000000008</v>
          </cell>
          <cell r="O63">
            <v>637.54</v>
          </cell>
          <cell r="P63">
            <v>648.39600000000007</v>
          </cell>
          <cell r="Q63">
            <v>660.33</v>
          </cell>
          <cell r="R63">
            <v>673.05600000000004</v>
          </cell>
          <cell r="S63">
            <v>684.17599999999993</v>
          </cell>
          <cell r="T63">
            <v>696.94500000000005</v>
          </cell>
          <cell r="U63">
            <v>709.98599999999999</v>
          </cell>
          <cell r="V63">
            <v>723.29</v>
          </cell>
          <cell r="W63">
            <v>736.84800000000007</v>
          </cell>
          <cell r="X63">
            <v>750.178</v>
          </cell>
          <cell r="Y63">
            <v>764.0862370798319</v>
          </cell>
          <cell r="Z63">
            <v>778.25233170636454</v>
          </cell>
          <cell r="AA63">
            <v>792.6810645368447</v>
          </cell>
          <cell r="AB63">
            <v>807.37730486150338</v>
          </cell>
          <cell r="AC63">
            <v>822.34601224680307</v>
          </cell>
          <cell r="AD63">
            <v>837.24840594971772</v>
          </cell>
          <cell r="AE63">
            <v>852.24476632518281</v>
          </cell>
          <cell r="AF63">
            <v>867.50973375073329</v>
          </cell>
          <cell r="AG63">
            <v>883.04811937691159</v>
          </cell>
          <cell r="AH63">
            <v>898.86482052910026</v>
          </cell>
        </row>
        <row r="64">
          <cell r="A64" t="str">
            <v>Benzene</v>
          </cell>
          <cell r="B64">
            <v>0</v>
          </cell>
          <cell r="C64">
            <v>0</v>
          </cell>
          <cell r="D64" t="str">
            <v>$/ton</v>
          </cell>
          <cell r="E64">
            <v>316.587470472456</v>
          </cell>
          <cell r="F64">
            <v>294.96116730371529</v>
          </cell>
          <cell r="G64">
            <v>278.86411396856647</v>
          </cell>
          <cell r="H64">
            <v>286.90276591460321</v>
          </cell>
          <cell r="I64">
            <v>306.08905690504832</v>
          </cell>
          <cell r="J64">
            <v>313.18128138622689</v>
          </cell>
          <cell r="K64">
            <v>317.38858108555405</v>
          </cell>
          <cell r="L64">
            <v>322.0445481202018</v>
          </cell>
          <cell r="M64">
            <v>326.62485810968576</v>
          </cell>
          <cell r="N64">
            <v>331.27163583777474</v>
          </cell>
          <cell r="O64">
            <v>338.62073746862728</v>
          </cell>
          <cell r="P64">
            <v>346.19968041255549</v>
          </cell>
          <cell r="Q64">
            <v>353.74166101049497</v>
          </cell>
          <cell r="R64">
            <v>361.7761461211291</v>
          </cell>
          <cell r="S64">
            <v>369.48671156452934</v>
          </cell>
          <cell r="T64">
            <v>377.70313882900223</v>
          </cell>
          <cell r="U64">
            <v>386.94872869641864</v>
          </cell>
          <cell r="V64">
            <v>395.90583672046421</v>
          </cell>
          <cell r="W64">
            <v>405.09766940999737</v>
          </cell>
          <cell r="X64">
            <v>414.26213592314485</v>
          </cell>
          <cell r="Y64">
            <v>423.82090473153897</v>
          </cell>
          <cell r="Z64">
            <v>433.60023451620657</v>
          </cell>
          <cell r="AA64">
            <v>443.60521454598853</v>
          </cell>
          <cell r="AB64">
            <v>453.84105152055054</v>
          </cell>
          <cell r="AC64">
            <v>464.31307228000571</v>
          </cell>
          <cell r="AD64">
            <v>475.02672657705966</v>
          </cell>
          <cell r="AE64">
            <v>485.98758991312076</v>
          </cell>
          <cell r="AF64">
            <v>497.20136643985109</v>
          </cell>
          <cell r="AG64">
            <v>508.67389192766905</v>
          </cell>
          <cell r="AH64">
            <v>520.41113680274668</v>
          </cell>
        </row>
        <row r="65">
          <cell r="A65" t="str">
            <v>Land Cost (unit)</v>
          </cell>
          <cell r="B65">
            <v>0</v>
          </cell>
          <cell r="C65">
            <v>0</v>
          </cell>
          <cell r="D65" t="str">
            <v>$/m2</v>
          </cell>
          <cell r="E65">
            <v>0</v>
          </cell>
          <cell r="F65">
            <v>0</v>
          </cell>
          <cell r="G65">
            <v>0</v>
          </cell>
          <cell r="H65">
            <v>0</v>
          </cell>
          <cell r="I65">
            <v>0</v>
          </cell>
          <cell r="J65">
            <v>2</v>
          </cell>
          <cell r="K65">
            <v>2</v>
          </cell>
          <cell r="L65">
            <v>2</v>
          </cell>
          <cell r="M65">
            <v>2</v>
          </cell>
          <cell r="N65">
            <v>2</v>
          </cell>
          <cell r="O65">
            <v>2</v>
          </cell>
          <cell r="P65">
            <v>2</v>
          </cell>
          <cell r="Q65">
            <v>2</v>
          </cell>
          <cell r="R65">
            <v>2</v>
          </cell>
          <cell r="S65">
            <v>2</v>
          </cell>
          <cell r="T65">
            <v>2</v>
          </cell>
          <cell r="U65">
            <v>2</v>
          </cell>
          <cell r="V65">
            <v>2</v>
          </cell>
          <cell r="W65">
            <v>2</v>
          </cell>
          <cell r="X65">
            <v>2</v>
          </cell>
          <cell r="Y65">
            <v>2</v>
          </cell>
          <cell r="Z65">
            <v>2</v>
          </cell>
          <cell r="AA65">
            <v>2</v>
          </cell>
          <cell r="AB65">
            <v>2</v>
          </cell>
          <cell r="AC65">
            <v>2</v>
          </cell>
          <cell r="AD65">
            <v>2</v>
          </cell>
          <cell r="AE65">
            <v>2</v>
          </cell>
          <cell r="AF65">
            <v>2</v>
          </cell>
          <cell r="AG65">
            <v>2</v>
          </cell>
          <cell r="AH65">
            <v>2</v>
          </cell>
        </row>
        <row r="66">
          <cell r="A66" t="str">
            <v>Land Cost</v>
          </cell>
          <cell r="B66">
            <v>0</v>
          </cell>
          <cell r="C66">
            <v>0</v>
          </cell>
          <cell r="D66" t="str">
            <v>$ million</v>
          </cell>
          <cell r="E66">
            <v>0</v>
          </cell>
          <cell r="F66">
            <v>0</v>
          </cell>
          <cell r="G66">
            <v>0</v>
          </cell>
          <cell r="H66">
            <v>0</v>
          </cell>
          <cell r="I66">
            <v>0</v>
          </cell>
          <cell r="J66">
            <v>1.7</v>
          </cell>
          <cell r="K66">
            <v>1.7</v>
          </cell>
          <cell r="L66">
            <v>1.7</v>
          </cell>
          <cell r="M66">
            <v>1.7</v>
          </cell>
          <cell r="N66">
            <v>1.7</v>
          </cell>
          <cell r="O66">
            <v>1.7</v>
          </cell>
          <cell r="P66">
            <v>1.7</v>
          </cell>
          <cell r="Q66">
            <v>1.7</v>
          </cell>
          <cell r="R66">
            <v>1.7</v>
          </cell>
          <cell r="S66">
            <v>1.7</v>
          </cell>
          <cell r="T66">
            <v>1.7</v>
          </cell>
          <cell r="U66">
            <v>1.7</v>
          </cell>
          <cell r="V66">
            <v>1.7</v>
          </cell>
          <cell r="W66">
            <v>1.7</v>
          </cell>
          <cell r="X66">
            <v>1.7</v>
          </cell>
          <cell r="Y66">
            <v>1.7</v>
          </cell>
          <cell r="Z66">
            <v>1.7</v>
          </cell>
          <cell r="AA66">
            <v>1.7</v>
          </cell>
          <cell r="AB66">
            <v>1.7</v>
          </cell>
          <cell r="AC66">
            <v>1.7</v>
          </cell>
          <cell r="AD66">
            <v>1.7</v>
          </cell>
          <cell r="AE66">
            <v>1.7</v>
          </cell>
          <cell r="AF66">
            <v>1.7</v>
          </cell>
          <cell r="AG66">
            <v>1.7</v>
          </cell>
          <cell r="AH66">
            <v>1.7</v>
          </cell>
        </row>
        <row r="67">
          <cell r="A67" t="str">
            <v>Handling Cost (Polymers)</v>
          </cell>
          <cell r="B67">
            <v>0</v>
          </cell>
          <cell r="C67">
            <v>0</v>
          </cell>
          <cell r="D67" t="str">
            <v>$/ton</v>
          </cell>
          <cell r="E67">
            <v>5</v>
          </cell>
          <cell r="F67">
            <v>5.0949999999999998</v>
          </cell>
          <cell r="G67">
            <v>5.21</v>
          </cell>
          <cell r="H67">
            <v>5.34</v>
          </cell>
          <cell r="I67">
            <v>5.4749999999999996</v>
          </cell>
          <cell r="J67">
            <v>5.6150000000000002</v>
          </cell>
          <cell r="K67">
            <v>5.7549999999999999</v>
          </cell>
          <cell r="L67">
            <v>5.8950000000000005</v>
          </cell>
          <cell r="M67">
            <v>6.0449999999999999</v>
          </cell>
          <cell r="N67">
            <v>6.1950000000000003</v>
          </cell>
          <cell r="O67">
            <v>6.35</v>
          </cell>
          <cell r="P67">
            <v>6.51</v>
          </cell>
          <cell r="Q67">
            <v>6.67</v>
          </cell>
          <cell r="R67">
            <v>6.8400000000000007</v>
          </cell>
          <cell r="S67">
            <v>7.01</v>
          </cell>
          <cell r="T67">
            <v>7.1850000000000005</v>
          </cell>
          <cell r="U67">
            <v>7.3650000000000002</v>
          </cell>
          <cell r="V67">
            <v>7.55</v>
          </cell>
          <cell r="W67">
            <v>7.74</v>
          </cell>
          <cell r="X67">
            <v>7.9300000000000006</v>
          </cell>
          <cell r="Y67">
            <v>8.1282499999999995</v>
          </cell>
          <cell r="Z67">
            <v>8.3314562500000005</v>
          </cell>
          <cell r="AA67">
            <v>8.5397426562499987</v>
          </cell>
          <cell r="AB67">
            <v>8.7532362226562483</v>
          </cell>
          <cell r="AC67">
            <v>8.972067128222653</v>
          </cell>
          <cell r="AD67">
            <v>9.1963688064282181</v>
          </cell>
          <cell r="AE67">
            <v>9.426278026588923</v>
          </cell>
          <cell r="AF67">
            <v>9.6619349772536438</v>
          </cell>
          <cell r="AG67">
            <v>9.9034833516849847</v>
          </cell>
          <cell r="AH67">
            <v>10.151070435477109</v>
          </cell>
        </row>
        <row r="68">
          <cell r="A68" t="str">
            <v>Handling Cost (Bulk Liquid)</v>
          </cell>
          <cell r="B68">
            <v>0</v>
          </cell>
          <cell r="C68">
            <v>0</v>
          </cell>
          <cell r="D68" t="str">
            <v>$/ton</v>
          </cell>
          <cell r="E68">
            <v>3</v>
          </cell>
          <cell r="F68">
            <v>3.0569999999999995</v>
          </cell>
          <cell r="G68">
            <v>3.1260000000000003</v>
          </cell>
          <cell r="H68">
            <v>3.2040000000000002</v>
          </cell>
          <cell r="I68">
            <v>3.2850000000000001</v>
          </cell>
          <cell r="J68">
            <v>3.3689999999999998</v>
          </cell>
          <cell r="K68">
            <v>3.4530000000000003</v>
          </cell>
          <cell r="L68">
            <v>3.5369999999999999</v>
          </cell>
          <cell r="M68">
            <v>3.6270000000000002</v>
          </cell>
          <cell r="N68">
            <v>3.7170000000000005</v>
          </cell>
          <cell r="O68">
            <v>3.81</v>
          </cell>
          <cell r="P68">
            <v>3.9060000000000001</v>
          </cell>
          <cell r="Q68">
            <v>4.0020000000000007</v>
          </cell>
          <cell r="R68">
            <v>4.1040000000000001</v>
          </cell>
          <cell r="S68">
            <v>4.2059999999999995</v>
          </cell>
          <cell r="T68">
            <v>4.3109999999999999</v>
          </cell>
          <cell r="U68">
            <v>4.4190000000000005</v>
          </cell>
          <cell r="V68">
            <v>4.53</v>
          </cell>
          <cell r="W68">
            <v>4.6440000000000001</v>
          </cell>
          <cell r="X68">
            <v>4.758</v>
          </cell>
          <cell r="Y68">
            <v>4.8769499999999999</v>
          </cell>
          <cell r="Z68">
            <v>4.9988737499999996</v>
          </cell>
          <cell r="AA68">
            <v>5.1238455937499996</v>
          </cell>
          <cell r="AB68">
            <v>5.2519417335937488</v>
          </cell>
          <cell r="AC68">
            <v>5.3832402769335914</v>
          </cell>
          <cell r="AD68">
            <v>5.5178212838569305</v>
          </cell>
          <cell r="AE68">
            <v>5.6557668159533536</v>
          </cell>
          <cell r="AF68">
            <v>5.7971609863521865</v>
          </cell>
          <cell r="AG68">
            <v>5.9420900110109915</v>
          </cell>
          <cell r="AH68">
            <v>6.0906422612862663</v>
          </cell>
        </row>
        <row r="69">
          <cell r="A69">
            <v>0</v>
          </cell>
          <cell r="B69">
            <v>0</v>
          </cell>
          <cell r="C69">
            <v>0</v>
          </cell>
          <cell r="D69">
            <v>0</v>
          </cell>
        </row>
        <row r="70">
          <cell r="A70">
            <v>0</v>
          </cell>
          <cell r="B70">
            <v>0</v>
          </cell>
          <cell r="C70">
            <v>0</v>
          </cell>
          <cell r="D70">
            <v>0</v>
          </cell>
        </row>
        <row r="71">
          <cell r="A71">
            <v>0</v>
          </cell>
          <cell r="B71">
            <v>0</v>
          </cell>
          <cell r="C71">
            <v>0</v>
          </cell>
          <cell r="D71">
            <v>0</v>
          </cell>
        </row>
        <row r="72">
          <cell r="A72">
            <v>0</v>
          </cell>
          <cell r="B72">
            <v>0</v>
          </cell>
          <cell r="C72">
            <v>0</v>
          </cell>
          <cell r="D72">
            <v>0</v>
          </cell>
        </row>
        <row r="73">
          <cell r="A73">
            <v>0</v>
          </cell>
          <cell r="B73">
            <v>0</v>
          </cell>
          <cell r="C73">
            <v>0</v>
          </cell>
          <cell r="D73">
            <v>0</v>
          </cell>
        </row>
        <row r="74">
          <cell r="A74" t="str">
            <v>Year</v>
          </cell>
          <cell r="B74">
            <v>0</v>
          </cell>
          <cell r="C74">
            <v>0</v>
          </cell>
          <cell r="D74">
            <v>2000</v>
          </cell>
          <cell r="E74">
            <v>2001</v>
          </cell>
          <cell r="F74">
            <v>2002</v>
          </cell>
          <cell r="G74">
            <v>2003</v>
          </cell>
          <cell r="H74">
            <v>2004</v>
          </cell>
          <cell r="I74">
            <v>2005</v>
          </cell>
          <cell r="J74">
            <v>2006</v>
          </cell>
          <cell r="K74">
            <v>2007</v>
          </cell>
          <cell r="L74">
            <v>2008</v>
          </cell>
          <cell r="M74">
            <v>2009</v>
          </cell>
          <cell r="N74">
            <v>2010</v>
          </cell>
          <cell r="O74">
            <v>2011</v>
          </cell>
          <cell r="P74">
            <v>2012</v>
          </cell>
          <cell r="Q74">
            <v>2013</v>
          </cell>
          <cell r="R74">
            <v>2014</v>
          </cell>
          <cell r="S74">
            <v>2015</v>
          </cell>
          <cell r="T74">
            <v>2016</v>
          </cell>
          <cell r="U74">
            <v>2017</v>
          </cell>
          <cell r="V74">
            <v>2018</v>
          </cell>
          <cell r="W74">
            <v>2019</v>
          </cell>
          <cell r="X74">
            <v>2020</v>
          </cell>
          <cell r="Y74">
            <v>2021</v>
          </cell>
          <cell r="Z74">
            <v>2022</v>
          </cell>
          <cell r="AA74">
            <v>2023</v>
          </cell>
          <cell r="AB74">
            <v>2024</v>
          </cell>
          <cell r="AC74">
            <v>2025</v>
          </cell>
          <cell r="AD74">
            <v>2026</v>
          </cell>
          <cell r="AE74">
            <v>2027</v>
          </cell>
          <cell r="AF74">
            <v>2028</v>
          </cell>
          <cell r="AG74">
            <v>2029</v>
          </cell>
          <cell r="AH74">
            <v>2030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rms"/>
      <sheetName val="Time series"/>
      <sheetName val="Historic prices"/>
      <sheetName val="Gr.form vs C2-50"/>
      <sheetName val="Historic prices (3)"/>
      <sheetName val="Res nieuwe form"/>
      <sheetName val="Gr.Cash costs (3)"/>
      <sheetName val="Gr.Cash costs (2)"/>
      <sheetName val="Gr.Cash costs"/>
      <sheetName val="Gr.Prijzen"/>
      <sheetName val="ICM"/>
    </sheetNames>
    <sheetDataSet>
      <sheetData sheetId="0">
        <row r="1">
          <cell r="C1">
            <v>150</v>
          </cell>
        </row>
      </sheetData>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urce"/>
      <sheetName val="input"/>
      <sheetName val="Report"/>
      <sheetName val="Gas Calculation"/>
      <sheetName val="Gas Cost"/>
      <sheetName val="GT Performance"/>
      <sheetName val="UB Performance"/>
      <sheetName val="STG Performance"/>
      <sheetName val="HRSG Performance"/>
      <sheetName val="Cost Calculation"/>
      <sheetName val="GT Compressore Effi"/>
      <sheetName val="CPCV"/>
      <sheetName val="Z value"/>
      <sheetName val="Sheet2"/>
    </sheetNames>
    <sheetDataSet>
      <sheetData sheetId="0">
        <row r="5">
          <cell r="G5">
            <v>6.049679027494852</v>
          </cell>
        </row>
        <row r="15">
          <cell r="G15">
            <v>50.185217913864484</v>
          </cell>
        </row>
        <row r="18">
          <cell r="G18">
            <v>0.71901691501000686</v>
          </cell>
        </row>
        <row r="19">
          <cell r="G19">
            <v>8.6798612526190677</v>
          </cell>
        </row>
        <row r="23">
          <cell r="G23">
            <v>207.80444353563033</v>
          </cell>
        </row>
        <row r="25">
          <cell r="G25">
            <v>278.26921512096624</v>
          </cell>
        </row>
        <row r="26">
          <cell r="G26">
            <v>26.522781611109789</v>
          </cell>
        </row>
        <row r="29">
          <cell r="G29">
            <v>83.32932966266732</v>
          </cell>
        </row>
        <row r="33">
          <cell r="G33">
            <v>107.8296555122278</v>
          </cell>
        </row>
        <row r="37">
          <cell r="G37">
            <v>63.198306988830446</v>
          </cell>
        </row>
        <row r="38">
          <cell r="G38">
            <v>8.2058804041947457</v>
          </cell>
        </row>
        <row r="41">
          <cell r="G41">
            <v>30.286872915626134</v>
          </cell>
        </row>
        <row r="43">
          <cell r="G43">
            <v>25.110965969918517</v>
          </cell>
        </row>
        <row r="46">
          <cell r="G46">
            <v>5.3487578656621304</v>
          </cell>
        </row>
        <row r="50">
          <cell r="G50">
            <v>979.48262602159332</v>
          </cell>
        </row>
        <row r="51">
          <cell r="G51">
            <v>1.7051292845264021</v>
          </cell>
        </row>
        <row r="53">
          <cell r="G53">
            <v>11.015625</v>
          </cell>
        </row>
        <row r="54">
          <cell r="G54">
            <v>11.015625</v>
          </cell>
        </row>
        <row r="59">
          <cell r="G59">
            <v>5.0330226560076579</v>
          </cell>
        </row>
        <row r="60">
          <cell r="G60">
            <v>0.43017213402371945</v>
          </cell>
        </row>
        <row r="62">
          <cell r="G62">
            <v>84.811322922681654</v>
          </cell>
        </row>
        <row r="63">
          <cell r="G63">
            <v>577.20553898532353</v>
          </cell>
        </row>
        <row r="66">
          <cell r="G66">
            <v>183.640625</v>
          </cell>
        </row>
        <row r="67">
          <cell r="G67">
            <v>499.9375</v>
          </cell>
        </row>
        <row r="68">
          <cell r="G68">
            <v>0</v>
          </cell>
        </row>
        <row r="70">
          <cell r="G70">
            <v>308.5625</v>
          </cell>
        </row>
        <row r="71">
          <cell r="G71">
            <v>171.125</v>
          </cell>
        </row>
        <row r="74">
          <cell r="G74">
            <v>21.8671875</v>
          </cell>
        </row>
        <row r="75">
          <cell r="G75">
            <v>135.3125</v>
          </cell>
        </row>
        <row r="76">
          <cell r="G76">
            <v>2256.5</v>
          </cell>
        </row>
        <row r="78">
          <cell r="G78">
            <v>0</v>
          </cell>
        </row>
        <row r="79">
          <cell r="G79">
            <v>0</v>
          </cell>
        </row>
        <row r="81">
          <cell r="G81">
            <v>10.675937457722618</v>
          </cell>
        </row>
        <row r="82">
          <cell r="G82">
            <v>15.700060417227711</v>
          </cell>
        </row>
        <row r="83">
          <cell r="G83">
            <v>891863.93166587455</v>
          </cell>
        </row>
        <row r="85">
          <cell r="G85">
            <v>99.375</v>
          </cell>
        </row>
        <row r="86">
          <cell r="G86">
            <v>1279.12109375</v>
          </cell>
        </row>
        <row r="87">
          <cell r="G87">
            <v>0</v>
          </cell>
        </row>
        <row r="89">
          <cell r="G89">
            <v>0</v>
          </cell>
        </row>
        <row r="90">
          <cell r="G90">
            <v>0</v>
          </cell>
        </row>
        <row r="93">
          <cell r="G93">
            <v>1999.75</v>
          </cell>
        </row>
        <row r="94">
          <cell r="G94">
            <v>2087.5</v>
          </cell>
        </row>
        <row r="97">
          <cell r="G97">
            <v>15.443359375</v>
          </cell>
        </row>
        <row r="98">
          <cell r="G98">
            <v>0</v>
          </cell>
        </row>
        <row r="99">
          <cell r="G99">
            <v>50.62109375</v>
          </cell>
        </row>
        <row r="103">
          <cell r="G103">
            <v>0</v>
          </cell>
        </row>
        <row r="107">
          <cell r="G107">
            <v>0</v>
          </cell>
        </row>
        <row r="110">
          <cell r="G110">
            <v>8.30078125E-3</v>
          </cell>
        </row>
        <row r="114">
          <cell r="G114">
            <v>1474.25</v>
          </cell>
        </row>
        <row r="118">
          <cell r="G118">
            <v>63.223397135788417</v>
          </cell>
        </row>
        <row r="121">
          <cell r="G121">
            <v>-1.5565628185868836E-2</v>
          </cell>
        </row>
        <row r="127">
          <cell r="G127">
            <v>1983.125</v>
          </cell>
        </row>
        <row r="130">
          <cell r="G130">
            <v>171.14102172851563</v>
          </cell>
        </row>
        <row r="134">
          <cell r="G134">
            <v>558.26762900164056</v>
          </cell>
        </row>
        <row r="138">
          <cell r="G138">
            <v>507.81661025106865</v>
          </cell>
        </row>
        <row r="141">
          <cell r="G141">
            <v>54.722898361482862</v>
          </cell>
        </row>
        <row r="145">
          <cell r="G145">
            <v>100.70039023660273</v>
          </cell>
        </row>
        <row r="149">
          <cell r="G149">
            <v>602.02715722892526</v>
          </cell>
        </row>
        <row r="152">
          <cell r="G152">
            <v>226.6534886287813</v>
          </cell>
        </row>
        <row r="156">
          <cell r="G156">
            <v>116.81407322073028</v>
          </cell>
        </row>
        <row r="163">
          <cell r="G163">
            <v>0</v>
          </cell>
        </row>
        <row r="167">
          <cell r="G167">
            <v>-7425.6728515625</v>
          </cell>
        </row>
        <row r="171">
          <cell r="G171">
            <v>311.78695678710938</v>
          </cell>
        </row>
        <row r="175">
          <cell r="G175">
            <v>1.750413179397583</v>
          </cell>
        </row>
        <row r="179">
          <cell r="G179">
            <v>705.379150390625</v>
          </cell>
        </row>
        <row r="186">
          <cell r="G186">
            <v>1746.6201171874998</v>
          </cell>
        </row>
        <row r="190">
          <cell r="G190">
            <v>622.453125</v>
          </cell>
        </row>
        <row r="193">
          <cell r="G193">
            <v>588.109375</v>
          </cell>
        </row>
        <row r="197">
          <cell r="G197">
            <v>108.78467358330775</v>
          </cell>
        </row>
        <row r="203">
          <cell r="G203">
            <v>12.443411354902778</v>
          </cell>
        </row>
        <row r="207">
          <cell r="G207">
            <v>43.134241766782829</v>
          </cell>
        </row>
        <row r="210">
          <cell r="G210">
            <v>0.56465283155201196</v>
          </cell>
        </row>
        <row r="211">
          <cell r="G211">
            <v>61.303378845539186</v>
          </cell>
        </row>
        <row r="214">
          <cell r="G214">
            <v>0.53616774111434595</v>
          </cell>
        </row>
        <row r="218">
          <cell r="G218">
            <v>9.4097075762079232</v>
          </cell>
        </row>
        <row r="219">
          <cell r="G219">
            <v>9.3071263999340186</v>
          </cell>
        </row>
        <row r="221">
          <cell r="G221">
            <v>6.0705947689712056E-3</v>
          </cell>
        </row>
        <row r="222">
          <cell r="G222">
            <v>7.358800261950983E-3</v>
          </cell>
        </row>
        <row r="225">
          <cell r="G225">
            <v>78.883932824385894</v>
          </cell>
        </row>
        <row r="229">
          <cell r="G229">
            <v>8.6597980266409493</v>
          </cell>
        </row>
        <row r="230">
          <cell r="G230">
            <v>9.5807316667867006</v>
          </cell>
        </row>
        <row r="235">
          <cell r="G235">
            <v>106.86949474824046</v>
          </cell>
        </row>
        <row r="240">
          <cell r="G240">
            <v>0.51852252342384741</v>
          </cell>
        </row>
        <row r="243">
          <cell r="G243">
            <v>0.46167251540624804</v>
          </cell>
        </row>
        <row r="247">
          <cell r="G247">
            <v>0.57456899696627739</v>
          </cell>
        </row>
        <row r="248">
          <cell r="G248">
            <v>9.5088304527534557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s>
    <sheetDataSet>
      <sheetData sheetId="0"/>
      <sheetData sheetId="1">
        <row r="4">
          <cell r="F4">
            <v>5.9030351638793945</v>
          </cell>
        </row>
        <row r="6">
          <cell r="F6">
            <v>23.586503982543945</v>
          </cell>
        </row>
        <row r="8">
          <cell r="F8">
            <v>19.495491027832031</v>
          </cell>
        </row>
        <row r="9">
          <cell r="F9">
            <v>20.964153289794922</v>
          </cell>
        </row>
        <row r="10">
          <cell r="F10">
            <v>36.799888610839844</v>
          </cell>
        </row>
        <row r="11">
          <cell r="F11">
            <v>377.2100830078125</v>
          </cell>
        </row>
        <row r="12">
          <cell r="F12">
            <v>4.6651096343994141</v>
          </cell>
        </row>
        <row r="13">
          <cell r="F13">
            <v>185.12338256835938</v>
          </cell>
        </row>
        <row r="14">
          <cell r="F14">
            <v>50.589202880859375</v>
          </cell>
        </row>
        <row r="16">
          <cell r="F16">
            <v>12.672587394714355</v>
          </cell>
        </row>
        <row r="17">
          <cell r="F17">
            <v>1.0044407844543457</v>
          </cell>
        </row>
        <row r="18">
          <cell r="F18">
            <v>8.4537839889526367</v>
          </cell>
        </row>
        <row r="19">
          <cell r="F19">
            <v>5.738680362701416</v>
          </cell>
        </row>
        <row r="20">
          <cell r="F20">
            <v>106.94502258300781</v>
          </cell>
        </row>
        <row r="21">
          <cell r="F21">
            <v>488.11746215820313</v>
          </cell>
        </row>
        <row r="22">
          <cell r="F22">
            <v>192.1973876953125</v>
          </cell>
        </row>
        <row r="23">
          <cell r="F23">
            <v>16.343908309936523</v>
          </cell>
        </row>
        <row r="24">
          <cell r="F24">
            <v>285.645263671875</v>
          </cell>
        </row>
        <row r="25">
          <cell r="F25">
            <v>27.780071258544922</v>
          </cell>
        </row>
        <row r="26">
          <cell r="F26">
            <v>17.54139518737793</v>
          </cell>
        </row>
        <row r="27">
          <cell r="F27">
            <v>123.22551727294922</v>
          </cell>
        </row>
        <row r="28">
          <cell r="F28">
            <v>135.520263671875</v>
          </cell>
        </row>
        <row r="29">
          <cell r="F29">
            <v>4.1246641427278519E-2</v>
          </cell>
        </row>
        <row r="30">
          <cell r="F30">
            <v>108.45578765869141</v>
          </cell>
        </row>
        <row r="31">
          <cell r="F31">
            <v>4.8699812889099121</v>
          </cell>
        </row>
        <row r="32">
          <cell r="F32">
            <v>108.94107055664063</v>
          </cell>
        </row>
        <row r="33">
          <cell r="F33">
            <v>0</v>
          </cell>
        </row>
        <row r="34">
          <cell r="F34">
            <v>0</v>
          </cell>
        </row>
        <row r="35">
          <cell r="F35">
            <v>65.135719299316406</v>
          </cell>
        </row>
        <row r="36">
          <cell r="F36">
            <v>82.543472290039063</v>
          </cell>
        </row>
        <row r="37">
          <cell r="F37">
            <v>7.9718904495239258</v>
          </cell>
        </row>
        <row r="38">
          <cell r="F38">
            <v>23.892322540283203</v>
          </cell>
        </row>
        <row r="39">
          <cell r="F39">
            <v>56.457405090332031</v>
          </cell>
        </row>
        <row r="40">
          <cell r="F40">
            <v>24.179828643798828</v>
          </cell>
        </row>
        <row r="41">
          <cell r="F41">
            <v>140.09980773925781</v>
          </cell>
        </row>
        <row r="42">
          <cell r="F42">
            <v>-2.7468752861022949</v>
          </cell>
        </row>
        <row r="43">
          <cell r="F43">
            <v>24.93293571472168</v>
          </cell>
        </row>
        <row r="44">
          <cell r="F44">
            <v>1.4989699125289917</v>
          </cell>
        </row>
        <row r="45">
          <cell r="F45">
            <v>4.6685895919799805</v>
          </cell>
        </row>
        <row r="46">
          <cell r="F46">
            <v>56.732147216796875</v>
          </cell>
        </row>
        <row r="47">
          <cell r="F47">
            <v>5.941932201385498</v>
          </cell>
        </row>
        <row r="48">
          <cell r="F48" t="str">
            <v/>
          </cell>
        </row>
        <row r="49">
          <cell r="F49">
            <v>650.099365234375</v>
          </cell>
        </row>
        <row r="50">
          <cell r="F50">
            <v>2.4776816368103027</v>
          </cell>
        </row>
        <row r="51">
          <cell r="F51">
            <v>4.7312183380126953</v>
          </cell>
        </row>
        <row r="52">
          <cell r="F52">
            <v>310.796875</v>
          </cell>
        </row>
        <row r="53">
          <cell r="F53">
            <v>236.3125</v>
          </cell>
        </row>
        <row r="54">
          <cell r="F54">
            <v>0</v>
          </cell>
        </row>
        <row r="55">
          <cell r="F55">
            <v>0</v>
          </cell>
        </row>
        <row r="56">
          <cell r="F56">
            <v>106.39232140600733</v>
          </cell>
        </row>
        <row r="57">
          <cell r="F57">
            <v>0</v>
          </cell>
        </row>
        <row r="58">
          <cell r="F58">
            <v>4.3135035661110637</v>
          </cell>
        </row>
        <row r="59">
          <cell r="F59">
            <v>16.884293820169511</v>
          </cell>
        </row>
        <row r="60">
          <cell r="F60">
            <v>52.0234375</v>
          </cell>
        </row>
        <row r="61">
          <cell r="F61">
            <v>-5.5967881469105496</v>
          </cell>
        </row>
        <row r="62">
          <cell r="F62">
            <v>15.636707744745486</v>
          </cell>
        </row>
        <row r="63">
          <cell r="F63">
            <v>55.6875</v>
          </cell>
        </row>
        <row r="64">
          <cell r="F64">
            <v>45.59375</v>
          </cell>
        </row>
        <row r="65">
          <cell r="F65">
            <v>18.390625</v>
          </cell>
        </row>
        <row r="66">
          <cell r="F66">
            <v>0.25</v>
          </cell>
        </row>
        <row r="67">
          <cell r="F67">
            <v>0</v>
          </cell>
        </row>
        <row r="68">
          <cell r="F68">
            <v>2381.5</v>
          </cell>
        </row>
        <row r="69">
          <cell r="F69">
            <v>69.78125</v>
          </cell>
        </row>
        <row r="70">
          <cell r="F70">
            <v>94.4375</v>
          </cell>
        </row>
        <row r="71">
          <cell r="F71">
            <v>143.75</v>
          </cell>
        </row>
        <row r="72">
          <cell r="F72">
            <v>122.3125</v>
          </cell>
        </row>
        <row r="73">
          <cell r="F73">
            <v>8.96875</v>
          </cell>
        </row>
        <row r="74">
          <cell r="F74">
            <v>28.09375</v>
          </cell>
        </row>
        <row r="75">
          <cell r="F75">
            <v>571.5</v>
          </cell>
        </row>
        <row r="76">
          <cell r="F76">
            <v>912.75</v>
          </cell>
        </row>
        <row r="77">
          <cell r="F77">
            <v>0</v>
          </cell>
        </row>
        <row r="78">
          <cell r="F78">
            <v>0</v>
          </cell>
        </row>
        <row r="79">
          <cell r="F79">
            <v>37.617973576066021</v>
          </cell>
        </row>
        <row r="80">
          <cell r="F80">
            <v>9.1885692313785903</v>
          </cell>
        </row>
        <row r="81">
          <cell r="F81">
            <v>13.536252332070791</v>
          </cell>
        </row>
        <row r="82">
          <cell r="F82">
            <v>796.25</v>
          </cell>
        </row>
        <row r="83">
          <cell r="F83">
            <v>-7.2764545446062255E-3</v>
          </cell>
        </row>
        <row r="84">
          <cell r="F84">
            <v>34.625</v>
          </cell>
        </row>
        <row r="85">
          <cell r="F85">
            <v>248.7265625</v>
          </cell>
        </row>
        <row r="86">
          <cell r="F86">
            <v>0</v>
          </cell>
        </row>
        <row r="87">
          <cell r="F87">
            <v>0</v>
          </cell>
        </row>
        <row r="88">
          <cell r="F88">
            <v>320.1875</v>
          </cell>
        </row>
        <row r="89">
          <cell r="F89">
            <v>72.859375</v>
          </cell>
        </row>
        <row r="90">
          <cell r="F90">
            <v>53731.535902688513</v>
          </cell>
        </row>
        <row r="91">
          <cell r="F91">
            <v>55485.947280687666</v>
          </cell>
        </row>
        <row r="92">
          <cell r="F92">
            <v>706.75</v>
          </cell>
        </row>
        <row r="93">
          <cell r="F93">
            <v>745</v>
          </cell>
        </row>
        <row r="94">
          <cell r="F94">
            <v>80.067317985528135</v>
          </cell>
        </row>
        <row r="95">
          <cell r="F95">
            <v>175.375</v>
          </cell>
        </row>
        <row r="96">
          <cell r="F96">
            <v>0</v>
          </cell>
        </row>
        <row r="97">
          <cell r="F97">
            <v>0</v>
          </cell>
        </row>
        <row r="98">
          <cell r="F98">
            <v>4.62890625</v>
          </cell>
        </row>
        <row r="99">
          <cell r="F99">
            <v>0</v>
          </cell>
        </row>
        <row r="100">
          <cell r="F100">
            <v>0</v>
          </cell>
        </row>
        <row r="101">
          <cell r="F101">
            <v>119.625</v>
          </cell>
        </row>
        <row r="102">
          <cell r="F102">
            <v>0</v>
          </cell>
        </row>
        <row r="103">
          <cell r="F103">
            <v>0.6334228515625</v>
          </cell>
        </row>
        <row r="104">
          <cell r="F104">
            <v>119.671875</v>
          </cell>
        </row>
        <row r="105">
          <cell r="F105">
            <v>0</v>
          </cell>
        </row>
        <row r="106">
          <cell r="F106">
            <v>0</v>
          </cell>
        </row>
        <row r="107">
          <cell r="F107">
            <v>88.47482881652256</v>
          </cell>
        </row>
        <row r="108">
          <cell r="F108">
            <v>9.2734375</v>
          </cell>
        </row>
        <row r="109">
          <cell r="F109">
            <v>1.708984375E-3</v>
          </cell>
        </row>
        <row r="110">
          <cell r="F110">
            <v>7.875</v>
          </cell>
        </row>
        <row r="111">
          <cell r="F111">
            <v>67.736225902880989</v>
          </cell>
        </row>
        <row r="112">
          <cell r="F112">
            <v>500.875</v>
          </cell>
        </row>
        <row r="113">
          <cell r="F113">
            <v>412.25</v>
          </cell>
        </row>
        <row r="114">
          <cell r="F114">
            <v>7.875</v>
          </cell>
        </row>
        <row r="115">
          <cell r="F115">
            <v>0</v>
          </cell>
        </row>
        <row r="116">
          <cell r="F116">
            <v>21.578125</v>
          </cell>
        </row>
        <row r="117">
          <cell r="F117">
            <v>86.980354609812238</v>
          </cell>
        </row>
        <row r="118">
          <cell r="F118">
            <v>500.75</v>
          </cell>
        </row>
        <row r="119">
          <cell r="F119">
            <v>34.40625</v>
          </cell>
        </row>
        <row r="120">
          <cell r="F120">
            <v>0</v>
          </cell>
        </row>
        <row r="121">
          <cell r="F121">
            <v>796.25</v>
          </cell>
        </row>
        <row r="122">
          <cell r="F122">
            <v>80.067317985528135</v>
          </cell>
        </row>
        <row r="123">
          <cell r="F123">
            <v>743.125</v>
          </cell>
        </row>
        <row r="124">
          <cell r="F124">
            <v>20.5390625</v>
          </cell>
        </row>
        <row r="125">
          <cell r="F125">
            <v>1.7096620006446872</v>
          </cell>
        </row>
        <row r="126">
          <cell r="F126">
            <v>672.5</v>
          </cell>
        </row>
        <row r="128">
          <cell r="F128">
            <v>17.464780616269934</v>
          </cell>
        </row>
        <row r="129">
          <cell r="F129">
            <v>497.6662125902086</v>
          </cell>
        </row>
        <row r="130">
          <cell r="F130">
            <v>522.30545621870317</v>
          </cell>
        </row>
        <row r="131">
          <cell r="F131">
            <v>19.898229630052686</v>
          </cell>
        </row>
        <row r="132">
          <cell r="F132">
            <v>23.01161350586931</v>
          </cell>
        </row>
        <row r="133">
          <cell r="F133">
            <v>495.07773117418463</v>
          </cell>
        </row>
        <row r="134">
          <cell r="F134">
            <v>508.74219505748079</v>
          </cell>
        </row>
        <row r="135">
          <cell r="F135">
            <v>17.452667438994133</v>
          </cell>
        </row>
        <row r="136">
          <cell r="F136">
            <v>17.561142020074342</v>
          </cell>
        </row>
        <row r="137">
          <cell r="F137">
            <v>47.35081548290367</v>
          </cell>
        </row>
        <row r="138">
          <cell r="F138">
            <v>47.379829946091363</v>
          </cell>
        </row>
        <row r="139">
          <cell r="F139">
            <v>14.607285307530368</v>
          </cell>
        </row>
        <row r="140">
          <cell r="F140">
            <v>16.220196464885067</v>
          </cell>
        </row>
        <row r="141">
          <cell r="F141">
            <v>86.295774588956732</v>
          </cell>
        </row>
        <row r="142">
          <cell r="F142">
            <v>97.896478464997728</v>
          </cell>
        </row>
        <row r="143">
          <cell r="F143">
            <v>17.037736060788923</v>
          </cell>
        </row>
        <row r="144">
          <cell r="F144">
            <v>25.775012746057456</v>
          </cell>
        </row>
        <row r="145">
          <cell r="F145">
            <v>634.70891136293653</v>
          </cell>
        </row>
        <row r="146">
          <cell r="F146">
            <v>0</v>
          </cell>
        </row>
        <row r="147">
          <cell r="F147">
            <v>601.6774270548816</v>
          </cell>
        </row>
        <row r="148">
          <cell r="F148">
            <v>16.090856659994639</v>
          </cell>
        </row>
        <row r="149">
          <cell r="F149">
            <v>26.693156300391919</v>
          </cell>
        </row>
        <row r="150">
          <cell r="F150">
            <v>167.33322367141059</v>
          </cell>
        </row>
        <row r="151">
          <cell r="F151">
            <v>189.75268677594627</v>
          </cell>
        </row>
        <row r="152">
          <cell r="F152">
            <v>117.31818059743114</v>
          </cell>
        </row>
        <row r="153">
          <cell r="F153">
            <v>504.4573149824102</v>
          </cell>
        </row>
        <row r="154">
          <cell r="F154">
            <v>119.77182002913368</v>
          </cell>
        </row>
        <row r="155">
          <cell r="F155">
            <v>494.612420717058</v>
          </cell>
        </row>
        <row r="156">
          <cell r="F156">
            <v>503.31900283303537</v>
          </cell>
        </row>
        <row r="157">
          <cell r="F157">
            <v>48.087251942690969</v>
          </cell>
        </row>
        <row r="158">
          <cell r="F158">
            <v>493.3318872656082</v>
          </cell>
        </row>
        <row r="159">
          <cell r="F159">
            <v>0</v>
          </cell>
        </row>
        <row r="160">
          <cell r="F160">
            <v>32730.5</v>
          </cell>
        </row>
        <row r="161">
          <cell r="F161">
            <v>39688</v>
          </cell>
        </row>
        <row r="184">
          <cell r="F184">
            <v>0</v>
          </cell>
        </row>
        <row r="185">
          <cell r="F185">
            <v>0</v>
          </cell>
        </row>
        <row r="186">
          <cell r="F186">
            <v>126.21875</v>
          </cell>
        </row>
        <row r="187">
          <cell r="F187">
            <v>165.921875</v>
          </cell>
        </row>
        <row r="191">
          <cell r="F191">
            <v>0.15382501482963562</v>
          </cell>
        </row>
        <row r="192">
          <cell r="F192">
            <v>2.549100399017334</v>
          </cell>
        </row>
        <row r="193">
          <cell r="F193">
            <v>112.22634887695313</v>
          </cell>
        </row>
        <row r="194">
          <cell r="F194">
            <v>115.85955047607422</v>
          </cell>
        </row>
        <row r="195">
          <cell r="F195">
            <v>18.826396942138672</v>
          </cell>
        </row>
        <row r="196">
          <cell r="F196">
            <v>18.388042449951172</v>
          </cell>
        </row>
        <row r="197">
          <cell r="F197">
            <v>11.650185585021973</v>
          </cell>
        </row>
        <row r="198">
          <cell r="F198">
            <v>11.283935546875</v>
          </cell>
        </row>
        <row r="199">
          <cell r="F199" t="str">
            <v/>
          </cell>
        </row>
        <row r="200">
          <cell r="F200">
            <v>36.647899627685547</v>
          </cell>
        </row>
        <row r="201">
          <cell r="F201">
            <v>36.418991088867188</v>
          </cell>
        </row>
        <row r="202">
          <cell r="F202" t="str">
            <v/>
          </cell>
        </row>
        <row r="203">
          <cell r="F203">
            <v>0</v>
          </cell>
        </row>
        <row r="204">
          <cell r="F204">
            <v>7.3707825504243374E-3</v>
          </cell>
        </row>
        <row r="205">
          <cell r="F205">
            <v>72.517509460449219</v>
          </cell>
        </row>
        <row r="206">
          <cell r="F206">
            <v>119.12283325195313</v>
          </cell>
        </row>
        <row r="207">
          <cell r="F207">
            <v>0.99908441305160522</v>
          </cell>
        </row>
        <row r="208">
          <cell r="F208">
            <v>0.6031680703163147</v>
          </cell>
        </row>
        <row r="209">
          <cell r="F209">
            <v>0.62935495376586914</v>
          </cell>
        </row>
        <row r="210">
          <cell r="F210">
            <v>7.8598179817199707</v>
          </cell>
        </row>
        <row r="211">
          <cell r="F211">
            <v>9.8262147903442383</v>
          </cell>
        </row>
        <row r="212">
          <cell r="F212">
            <v>9.5390748977661133</v>
          </cell>
        </row>
        <row r="213">
          <cell r="F213">
            <v>9.3589706420898438</v>
          </cell>
        </row>
        <row r="214">
          <cell r="F214">
            <v>8.6435014382004738E-3</v>
          </cell>
        </row>
        <row r="215">
          <cell r="F215">
            <v>2.0326878875494003E-3</v>
          </cell>
        </row>
        <row r="216">
          <cell r="F216">
            <v>1.0602939873933792E-2</v>
          </cell>
        </row>
        <row r="217">
          <cell r="F217">
            <v>9.2615475878119469E-3</v>
          </cell>
        </row>
        <row r="218">
          <cell r="F218">
            <v>31.543285369873047</v>
          </cell>
        </row>
        <row r="219">
          <cell r="F219">
            <v>31.199926376342773</v>
          </cell>
        </row>
        <row r="220">
          <cell r="F220">
            <v>39.692348480224609</v>
          </cell>
        </row>
        <row r="221">
          <cell r="F221">
            <v>35.274459838867188</v>
          </cell>
        </row>
        <row r="222">
          <cell r="F222">
            <v>7.6015195846557617</v>
          </cell>
        </row>
        <row r="223">
          <cell r="F223">
            <v>8.0033884048461914</v>
          </cell>
        </row>
        <row r="224">
          <cell r="F224">
            <v>9.8166007995605469</v>
          </cell>
        </row>
        <row r="225">
          <cell r="F225">
            <v>9.7352018356323242</v>
          </cell>
        </row>
        <row r="227">
          <cell r="F227" t="str">
            <v/>
          </cell>
        </row>
        <row r="229">
          <cell r="F229">
            <v>106.83514404296875</v>
          </cell>
        </row>
        <row r="230">
          <cell r="F230">
            <v>8.296629786491394E-2</v>
          </cell>
        </row>
        <row r="231">
          <cell r="F231">
            <v>9.7422513961791992</v>
          </cell>
        </row>
        <row r="232">
          <cell r="F232" t="str">
            <v/>
          </cell>
        </row>
        <row r="233">
          <cell r="F233">
            <v>9.1562513262033463E-3</v>
          </cell>
        </row>
        <row r="234">
          <cell r="F234">
            <v>0.50249505043029785</v>
          </cell>
        </row>
        <row r="235">
          <cell r="F235">
            <v>9.6525201797485352</v>
          </cell>
        </row>
        <row r="236">
          <cell r="F236">
            <v>7.0855650901794434</v>
          </cell>
        </row>
        <row r="237">
          <cell r="F237">
            <v>0.9996795654296875</v>
          </cell>
        </row>
        <row r="238">
          <cell r="F238">
            <v>0</v>
          </cell>
        </row>
        <row r="239">
          <cell r="F239">
            <v>0.99940484762191772</v>
          </cell>
        </row>
        <row r="240">
          <cell r="F240">
            <v>7.0291624069213867</v>
          </cell>
        </row>
        <row r="241">
          <cell r="F241">
            <v>0.64226526021957397</v>
          </cell>
        </row>
        <row r="242">
          <cell r="F242">
            <v>9.674952507019043</v>
          </cell>
        </row>
        <row r="243">
          <cell r="F243">
            <v>18147.517578125</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heet2"/>
      <sheetName val="Background and Option Evaluated"/>
      <sheetName val="Scenario"/>
      <sheetName val="DASH"/>
      <sheetName val="Sheet3"/>
      <sheetName val="Opex"/>
      <sheetName val="Capex"/>
      <sheetName val="Annual COP"/>
      <sheetName val="Cashflow Option 1"/>
      <sheetName val="Cashflow Option 2"/>
      <sheetName val="Cashflow Option 3"/>
      <sheetName val="Feed"/>
      <sheetName val="Products Output"/>
      <sheetName val="Financial Model_OPaL"/>
      <sheetName val="Financial Model (84 Months)"/>
      <sheetName val="Financial Model High Propane"/>
      <sheetName val="Financial Model Base Case"/>
      <sheetName val="Net Change in Margin"/>
      <sheetName val="Cracker Yields"/>
      <sheetName val="Opex Phenol"/>
      <sheetName val="Working Sheet"/>
      <sheetName val="Profitability"/>
      <sheetName val="Sensitivity-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 val="Cashflow Current"/>
      <sheetName val="Profitability Current"/>
      <sheetName val="Sensitivity-Current"/>
      <sheetName val=" Break Evenpoint Current"/>
    </sheetNames>
    <sheetDataSet>
      <sheetData sheetId="0"/>
      <sheetData sheetId="1"/>
      <sheetData sheetId="2"/>
      <sheetData sheetId="3"/>
      <sheetData sheetId="4"/>
      <sheetData sheetId="5"/>
      <sheetData sheetId="6"/>
      <sheetData sheetId="7">
        <row r="22">
          <cell r="D22">
            <v>1768.675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ing"/>
      <sheetName val="Cover Page"/>
      <sheetName val="ScenarioCacu"/>
      <sheetName val="Dashboard"/>
      <sheetName val="Sheet2"/>
      <sheetName val="Scenario"/>
      <sheetName val="Yield Calculation"/>
      <sheetName val="Annual COP"/>
      <sheetName val="Opex"/>
      <sheetName val="Capex"/>
      <sheetName val="Financials - 1st"/>
      <sheetName val="Financials - 2nd"/>
      <sheetName val="Financials - 3rd"/>
      <sheetName val="Financials - 4th"/>
      <sheetName val="Raw Material -Pricing Sheet"/>
      <sheetName val="Working Sheet"/>
      <sheetName val="Salaries &amp; Wages Calculations"/>
      <sheetName val="Basis"/>
      <sheetName val="Equipment Cost "/>
    </sheetNames>
    <sheetDataSet>
      <sheetData sheetId="0"/>
      <sheetData sheetId="1"/>
      <sheetData sheetId="2"/>
      <sheetData sheetId="3"/>
      <sheetData sheetId="4">
        <row r="2">
          <cell r="D2" t="str">
            <v>Financials</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heet2"/>
      <sheetName val="Background and Option Evaluated"/>
      <sheetName val="Feed"/>
      <sheetName val="Products Output"/>
      <sheetName val="Financial Model_OPaL"/>
      <sheetName val="Financial Model (84 Months)"/>
      <sheetName val="Financial Model High Propane"/>
      <sheetName val="Financial Model Base Case"/>
      <sheetName val="Cracker Yields"/>
      <sheetName val="Capex"/>
      <sheetName val="Annual COP"/>
      <sheetName val="Scenario"/>
      <sheetName val="Opex"/>
      <sheetName val="Opex Phenol"/>
      <sheetName val="Cashflow Option 1"/>
      <sheetName val="Cashflow Option 2"/>
      <sheetName val="Cashflow Option 3"/>
      <sheetName val="Working Sheet"/>
      <sheetName val="Profitability"/>
      <sheetName val="Sensitivity-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 val="Scenario Phenol"/>
    </sheetNames>
    <sheetDataSet>
      <sheetData sheetId="0"/>
      <sheetData sheetId="1"/>
      <sheetData sheetId="2">
        <row r="2">
          <cell r="A2" t="str">
            <v>Option 1 : Capacity of 200 KTPA Phenol and 123 KTPA Acetone capacity (Propane Furnace Additional)</v>
          </cell>
        </row>
        <row r="4">
          <cell r="A4" t="str">
            <v>Option 3 : Capacity for 200 KTPA Phenol + 120 KTPA Acetone, (Propylene - 80 % in house and 20 % external procurement)</v>
          </cell>
        </row>
      </sheetData>
      <sheetData sheetId="3"/>
      <sheetData sheetId="4"/>
      <sheetData sheetId="5"/>
      <sheetData sheetId="6">
        <row r="56">
          <cell r="CM56">
            <v>58590.053407738094</v>
          </cell>
        </row>
        <row r="57">
          <cell r="CM57">
            <v>77038.391071428574</v>
          </cell>
        </row>
      </sheetData>
      <sheetData sheetId="7">
        <row r="7">
          <cell r="CM7">
            <v>49804.452380952382</v>
          </cell>
        </row>
        <row r="70">
          <cell r="CM70">
            <v>52578.253724148555</v>
          </cell>
        </row>
      </sheetData>
      <sheetData sheetId="8">
        <row r="70">
          <cell r="CM70">
            <v>53119.883382014108</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heet2"/>
      <sheetName val="Feed"/>
      <sheetName val="Products Output"/>
      <sheetName val="Financial Model_OPaL"/>
      <sheetName val="Financial Model (84 Months)"/>
      <sheetName val="Financial Model High Propane"/>
      <sheetName val="Financial Model Base Case"/>
      <sheetName val="Cracker Yields"/>
      <sheetName val="Capex"/>
      <sheetName val="Annual COP"/>
      <sheetName val="Scenario"/>
      <sheetName val="Opex"/>
      <sheetName val="Opex Phenol"/>
      <sheetName val="Cashflow Option 1"/>
      <sheetName val="Cashflow Option 2"/>
      <sheetName val="Cashflow Option 3"/>
      <sheetName val="Working Sheet"/>
      <sheetName val="Profitability"/>
      <sheetName val="Sensitivity-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s>
    <sheetDataSet>
      <sheetData sheetId="0"/>
      <sheetData sheetId="1"/>
      <sheetData sheetId="2">
        <row r="4">
          <cell r="F4">
            <v>569</v>
          </cell>
        </row>
        <row r="5">
          <cell r="F5">
            <v>1611</v>
          </cell>
        </row>
        <row r="6">
          <cell r="F6">
            <v>697</v>
          </cell>
        </row>
        <row r="7">
          <cell r="F7">
            <v>136</v>
          </cell>
        </row>
      </sheetData>
      <sheetData sheetId="3"/>
      <sheetData sheetId="4"/>
      <sheetData sheetId="5"/>
      <sheetData sheetId="6"/>
      <sheetData sheetId="7"/>
      <sheetData sheetId="8">
        <row r="3">
          <cell r="H3">
            <v>0.82</v>
          </cell>
          <cell r="I3">
            <v>0.46</v>
          </cell>
          <cell r="J3">
            <v>0.33</v>
          </cell>
          <cell r="K3">
            <v>0.308</v>
          </cell>
        </row>
        <row r="4">
          <cell r="H4">
            <v>0.01</v>
          </cell>
          <cell r="I4">
            <v>0.24</v>
          </cell>
          <cell r="J4">
            <v>0.24</v>
          </cell>
          <cell r="K4">
            <v>0.224</v>
          </cell>
        </row>
        <row r="5">
          <cell r="H5">
            <v>1.8E-3</v>
          </cell>
          <cell r="I5">
            <v>0.01</v>
          </cell>
          <cell r="J5">
            <v>0.01</v>
          </cell>
          <cell r="K5">
            <v>3.6999999999999998E-2</v>
          </cell>
        </row>
        <row r="6">
          <cell r="H6">
            <v>2.7000000000000001E-3</v>
          </cell>
          <cell r="I6">
            <v>4.0000000000000001E-3</v>
          </cell>
          <cell r="J6">
            <v>1.9000000000000003E-2</v>
          </cell>
          <cell r="K6">
            <v>8.5880000000000012E-2</v>
          </cell>
        </row>
        <row r="7">
          <cell r="H7">
            <v>1.3000000000000001E-2</v>
          </cell>
          <cell r="I7">
            <v>1.4000000000000002E-2</v>
          </cell>
          <cell r="J7">
            <v>0.124</v>
          </cell>
          <cell r="K7">
            <v>6.5600000000000006E-2</v>
          </cell>
        </row>
        <row r="8">
          <cell r="H8">
            <v>3.2399999999999998E-3</v>
          </cell>
          <cell r="I8">
            <v>4.7999999999999996E-3</v>
          </cell>
          <cell r="J8">
            <v>2.2800000000000001E-2</v>
          </cell>
          <cell r="K8">
            <v>0.10305599999999999</v>
          </cell>
        </row>
        <row r="11">
          <cell r="H11">
            <v>5.8319999999999997E-4</v>
          </cell>
          <cell r="I11">
            <v>8.6399999999999986E-4</v>
          </cell>
          <cell r="J11">
            <v>4.104E-3</v>
          </cell>
          <cell r="K11">
            <v>1.855008E-2</v>
          </cell>
        </row>
        <row r="15">
          <cell r="H15">
            <v>0.98795180722891562</v>
          </cell>
          <cell r="I15">
            <v>0.65714285714285725</v>
          </cell>
          <cell r="J15">
            <v>0.57894736842105254</v>
          </cell>
          <cell r="K15">
            <v>0.57894736842105254</v>
          </cell>
        </row>
        <row r="16">
          <cell r="H16">
            <v>1.2048192771084376E-2</v>
          </cell>
          <cell r="I16">
            <v>0.34285714285714275</v>
          </cell>
          <cell r="J16">
            <v>0.42105263157894746</v>
          </cell>
          <cell r="K16">
            <v>0.42105263157894746</v>
          </cell>
        </row>
      </sheetData>
      <sheetData sheetId="9"/>
      <sheetData sheetId="10"/>
      <sheetData sheetId="11">
        <row r="3">
          <cell r="C3">
            <v>91750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Sheet2"/>
      <sheetName val="Feed"/>
      <sheetName val="Products Output"/>
      <sheetName val="Financial Model_OPaL"/>
      <sheetName val="Scenario"/>
      <sheetName val="Annual COP"/>
      <sheetName val="Financial Model (84 Months)"/>
      <sheetName val="Cracker Yields"/>
      <sheetName val="Capex"/>
      <sheetName val="Opex"/>
      <sheetName val="Cashflow Option 1"/>
      <sheetName val="Cashflow Option 2"/>
      <sheetName val="Cashflow Option 3"/>
      <sheetName val="Working Sheet"/>
      <sheetName val="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2">
          <cell r="D22">
            <v>1768.675</v>
          </cell>
        </row>
      </sheetData>
      <sheetData sheetId="10">
        <row r="4">
          <cell r="D4">
            <v>1342.7559703952168</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ow r="3">
          <cell r="E3">
            <v>1540.7678214285716</v>
          </cell>
          <cell r="F3">
            <v>1560.797803107143</v>
          </cell>
          <cell r="G3">
            <v>1581.0881745475358</v>
          </cell>
          <cell r="H3">
            <v>1601.6423208166539</v>
          </cell>
          <cell r="I3">
            <v>1622.4636709872705</v>
          </cell>
          <cell r="J3">
            <v>1643.5556987101049</v>
          </cell>
          <cell r="K3">
            <v>1664.9219227933363</v>
          </cell>
          <cell r="L3">
            <v>1686.5659077896496</v>
          </cell>
          <cell r="M3">
            <v>1708.4912645909151</v>
          </cell>
          <cell r="N3">
            <v>1730.7016510305971</v>
          </cell>
          <cell r="O3">
            <v>1753.2007724939949</v>
          </cell>
          <cell r="P3">
            <v>1775.9923825364169</v>
          </cell>
          <cell r="Q3">
            <v>1799.0802835093903</v>
          </cell>
          <cell r="R3">
            <v>1822.4683271950123</v>
          </cell>
          <cell r="S3">
            <v>1846.1604154485474</v>
          </cell>
          <cell r="T3">
            <v>1870.1605008493784</v>
          </cell>
          <cell r="U3">
            <v>1894.4725873604204</v>
          </cell>
          <cell r="V3">
            <v>1919.100730996106</v>
          </cell>
          <cell r="W3">
            <v>1944.0490404990553</v>
          </cell>
          <cell r="X3">
            <v>1969.321678025543</v>
          </cell>
        </row>
        <row r="4">
          <cell r="E4">
            <v>720.65765691517856</v>
          </cell>
          <cell r="F4">
            <v>729.30554879816066</v>
          </cell>
          <cell r="G4">
            <v>738.05721538373859</v>
          </cell>
          <cell r="H4">
            <v>746.91390196834345</v>
          </cell>
          <cell r="I4">
            <v>755.8768687919636</v>
          </cell>
          <cell r="J4">
            <v>764.94739121746716</v>
          </cell>
          <cell r="K4">
            <v>774.12675991207675</v>
          </cell>
          <cell r="L4">
            <v>783.41628103102164</v>
          </cell>
          <cell r="M4">
            <v>792.81727640339386</v>
          </cell>
          <cell r="N4">
            <v>802.33108372023457</v>
          </cell>
          <cell r="O4">
            <v>811.95905672487743</v>
          </cell>
          <cell r="P4">
            <v>821.70256540557591</v>
          </cell>
          <cell r="Q4">
            <v>831.56299619044285</v>
          </cell>
          <cell r="R4">
            <v>841.54175214472821</v>
          </cell>
          <cell r="S4">
            <v>851.64025317046492</v>
          </cell>
          <cell r="T4">
            <v>861.85993620851048</v>
          </cell>
          <cell r="U4">
            <v>872.20225544301263</v>
          </cell>
          <cell r="V4">
            <v>882.66868250832874</v>
          </cell>
          <cell r="W4">
            <v>893.26070669842863</v>
          </cell>
          <cell r="X4">
            <v>903.97983517880982</v>
          </cell>
        </row>
      </sheetData>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mailto:NPV@12%25"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mailto:NPV@12%25"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mailto:NPV@12%25"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mailto:NPV@12%25"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mailto:NPV@12%25"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mailto:NPV@12%25"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hyperlink" Target="mailto:NPV@12%25"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BC23E-511E-48B6-9734-12F94884E0AA}">
  <sheetPr codeName="Sheet1"/>
  <dimension ref="A1:U1"/>
  <sheetViews>
    <sheetView showGridLines="0" workbookViewId="0">
      <selection activeCell="N10" sqref="N10"/>
    </sheetView>
  </sheetViews>
  <sheetFormatPr defaultColWidth="0" defaultRowHeight="15"/>
  <cols>
    <col min="1" max="13" width="9.140625" customWidth="1"/>
    <col min="14" max="14" width="7.5703125" customWidth="1"/>
    <col min="15" max="15" width="8.140625" customWidth="1"/>
    <col min="16" max="19" width="9.140625" customWidth="1"/>
    <col min="20" max="20" width="7.85546875" customWidth="1"/>
    <col min="21" max="21" width="9.140625" customWidth="1"/>
    <col min="22" max="16384" width="9.140625" hidden="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51B96-906B-4D5C-9EAF-606053296A62}">
  <sheetPr codeName="Sheet4"/>
  <dimension ref="A1:I22"/>
  <sheetViews>
    <sheetView workbookViewId="0">
      <selection activeCell="E13" sqref="E13"/>
    </sheetView>
  </sheetViews>
  <sheetFormatPr defaultRowHeight="15"/>
  <cols>
    <col min="1" max="1" width="32.5703125" bestFit="1" customWidth="1"/>
    <col min="2" max="2" width="12.7109375" bestFit="1" customWidth="1"/>
    <col min="4" max="4" width="28.42578125" bestFit="1" customWidth="1"/>
    <col min="5" max="5" width="9.7109375" bestFit="1" customWidth="1"/>
    <col min="7" max="7" width="16.140625" bestFit="1" customWidth="1"/>
    <col min="10" max="10" width="23.28515625" bestFit="1" customWidth="1"/>
    <col min="11" max="11" width="12" bestFit="1" customWidth="1"/>
  </cols>
  <sheetData>
    <row r="1" spans="1:9">
      <c r="A1">
        <f>Dashboard!A1</f>
        <v>4</v>
      </c>
      <c r="D1" s="858"/>
    </row>
    <row r="2" spans="1:9">
      <c r="A2" s="864" t="str" cm="1">
        <f t="array" ref="A2:B5">IF(OR(A1=1,A1=2,A1=3),D10:E15,D18:E21)</f>
        <v>Capex</v>
      </c>
      <c r="B2" s="865" t="str">
        <v>INR Crore</v>
      </c>
      <c r="D2" s="864" t="s">
        <v>581</v>
      </c>
      <c r="E2" s="865" t="s">
        <v>575</v>
      </c>
      <c r="G2" s="864" t="s">
        <v>26</v>
      </c>
    </row>
    <row r="3" spans="1:9">
      <c r="A3" s="866" t="str">
        <v>Capex PVC Option 1</v>
      </c>
      <c r="B3" s="922">
        <v>4159.4497678079997</v>
      </c>
      <c r="D3" s="866" t="s">
        <v>27</v>
      </c>
      <c r="E3" s="922">
        <f>IF($A$1=1,INDEX('Cashflow 350 KTPA'!$C$10:$Z$30,MATCH(D3,'Cashflow 350 KTPA'!$B$10:$B$30,0),MATCH(Dashboard!$J$8,'Cashflow 350 KTPA'!$C$5:$Z$5,0)),IF($A$1=2,INDEX('Cashflow 500 KTPA'!$C$10:$Z$31,MATCH(D3,'Cashflow 500 KTPA'!$B$10:$B$31,0),MATCH(Dashboard!$J$8,'Cashflow 500 KTPA'!$C$5:$Z$5,0)),IF($A$1=3,INDEX('Cashflow 500KT EDC VCM Cracking'!$C$10:$Z$29,MATCH(D3,'Cashflow 500KT EDC VCM Cracking'!$B$10:$B$29,0),MATCH(Dashboard!$J$8,'Cashflow 500KT EDC VCM Cracking'!$C$5:$Z$5,0)),IF($A$1=4,INDEX('Cashflow - PVC Phenol Propane'!$C$11:$Z$29,MATCH(D3,'Cashflow - PVC Phenol Propane'!$B$11:$B$29,0),MATCH(Dashboard!$J$8,'Cashflow - PVC Phenol Propane'!$C$5:$Z$5,0))))))</f>
        <v>6385.8926401717081</v>
      </c>
      <c r="F3" s="894"/>
      <c r="G3" s="893" t="str">
        <f>IF(A1=1,'Opex PVC'!A1,IF(Sheet3!A1=2,'Opex PVC'!A22,IF(Sheet3!A1=3,'Opex PVC'!A43,IF(Sheet3!A1=4,'Opex PVC'!A62))))</f>
        <v>Capacity for 350 KTPA PVC Resin and 200 KTPA Phenol + 123 KTPA Acetone</v>
      </c>
      <c r="I3" s="858"/>
    </row>
    <row r="4" spans="1:9">
      <c r="A4" t="str">
        <v>Capex Phenol Option 1</v>
      </c>
      <c r="B4" s="923">
        <v>1768.675</v>
      </c>
      <c r="D4" t="s">
        <v>30</v>
      </c>
      <c r="E4" s="923">
        <f>IF($A$1=1,INDEX('Cashflow 350 KTPA'!$C$10:$Z$30,MATCH(D4,'Cashflow 350 KTPA'!$B$10:$B$30,0),MATCH(Dashboard!$J$8,'Cashflow 350 KTPA'!$C$5:$Z$5,0)),IF($A$1=2,INDEX('Cashflow 500 KTPA'!$C$10:$Z$31,MATCH(D4,'Cashflow 500 KTPA'!$B$10:$B$31,0),MATCH(Dashboard!$J$8,'Cashflow 500 KTPA'!$C$5:$Z$5,0)),IF($A$1=3,INDEX('Cashflow 500KT EDC VCM Cracking'!$C$10:$Z$29,MATCH(D4,'Cashflow 500KT EDC VCM Cracking'!$B$10:$B$29,0),MATCH(Dashboard!$J$8,'Cashflow 500KT EDC VCM Cracking'!$C$5:$Z$5,0)),IF($A$1=4,INDEX('Cashflow - PVC Phenol Propane'!$C$11:$Z$29,MATCH(D4,'Cashflow - PVC Phenol Propane'!$B$11:$B$29,0),MATCH(Dashboard!$J$8,'Cashflow - PVC Phenol Propane'!$C$5:$Z$5,0))))))</f>
        <v>3210.7161016281257</v>
      </c>
      <c r="F4" s="894"/>
    </row>
    <row r="5" spans="1:9">
      <c r="A5" s="866" t="str">
        <v>Propane Furnace Adition</v>
      </c>
      <c r="B5" s="922">
        <v>2370</v>
      </c>
      <c r="D5" s="866" t="s">
        <v>396</v>
      </c>
      <c r="E5" s="922">
        <f>IF($A$1=1,INDEX('Cashflow 350 KTPA'!$C$10:$Z$30,MATCH(D5,'Cashflow 350 KTPA'!$B$10:$B$30,0),MATCH(Dashboard!$J$8,'Cashflow 350 KTPA'!$C$5:$Z$5,0)),IF($A$1=2,INDEX('Cashflow 500 KTPA'!$C$10:$Z$31,MATCH(D5,'Cashflow 500 KTPA'!$B$10:$B$31,0),MATCH(Dashboard!$J$8,'Cashflow 500 KTPA'!$C$5:$Z$5,0)),IF($A$1=3,INDEX('Cashflow 500KT EDC VCM Cracking'!$C$10:$Z$29,MATCH(D5,'Cashflow 500KT EDC VCM Cracking'!$B$10:$B$29,0),MATCH(Dashboard!$J$8,'Cashflow 500KT EDC VCM Cracking'!$C$5:$Z$5,0)),IF($A$1=4,INDEX('Cashflow - PVC Phenol Propane'!$C$11:$Z$29,MATCH(D5,'Cashflow - PVC Phenol Propane'!$B$11:$B$29,0),MATCH(Dashboard!$J$8,'Cashflow - PVC Phenol Propane'!$C$5:$Z$5,0))))))</f>
        <v>3175.1765385435824</v>
      </c>
      <c r="F5" s="894"/>
      <c r="G5" s="864" t="s">
        <v>579</v>
      </c>
    </row>
    <row r="6" spans="1:9">
      <c r="B6" s="923"/>
      <c r="D6" t="s">
        <v>32</v>
      </c>
      <c r="E6" s="923">
        <f>IF($A$1=1,INDEX('Cashflow 350 KTPA'!$C$10:$Z$30,MATCH(D6,'Cashflow 350 KTPA'!$B$10:$B$30,0),MATCH(Dashboard!$J$8,'Cashflow 350 KTPA'!$C$5:$Z$5,0)),IF($A$1=2,INDEX('Cashflow 500 KTPA'!$C$10:$Z$31,MATCH(D6,'Cashflow 500 KTPA'!$B$10:$B$31,0),MATCH(Dashboard!$J$8,'Cashflow 500 KTPA'!$C$5:$Z$5,0)),IF($A$1=3,INDEX('Cashflow 500KT EDC VCM Cracking'!$C$10:$Z$29,MATCH(D6,'Cashflow 500KT EDC VCM Cracking'!$B$10:$B$29,0),MATCH(Dashboard!$J$8,'Cashflow 500KT EDC VCM Cracking'!$C$5:$Z$5,0)),IF($A$1=4,INDEX('Cashflow - PVC Phenol Propane'!$C$11:$Z$29,MATCH(D6,'Cashflow - PVC Phenol Propane'!$B$11:$B$29,0),MATCH(Dashboard!$J$8,'Cashflow - PVC Phenol Propane'!$C$5:$Z$5,0))))))</f>
        <v>3175.1765385435824</v>
      </c>
      <c r="F6" s="894"/>
      <c r="G6" s="891" t="str">
        <f>TEXT(-ROUND(IF(A1=1,'Cashflow 350 KTPA'!G9,IF(Sheet3!A1=2,'Cashflow 500 KTPA'!G9,IF(Sheet3!A1=3,'Cashflow 500KT EDC VCM Cracking'!G9,IF(Sheet3!A1=4,'Cashflow - PVC Phenol Propane'!G10)))),0),"0,00")&amp;" INR Cr"</f>
        <v>8,298 INR Cr</v>
      </c>
    </row>
    <row r="7" spans="1:9">
      <c r="A7" s="866"/>
      <c r="B7" s="922"/>
      <c r="E7" s="923"/>
    </row>
    <row r="8" spans="1:9">
      <c r="B8" s="923"/>
      <c r="E8" s="923"/>
      <c r="G8" s="865" t="s">
        <v>36</v>
      </c>
    </row>
    <row r="9" spans="1:9">
      <c r="B9" s="923"/>
      <c r="D9" t="s">
        <v>585</v>
      </c>
      <c r="E9" s="923"/>
      <c r="G9" s="891" t="str">
        <f>TEXT(ROUND(IF(A1=1,'Cashflow 350 KTPA'!G33,IF(Sheet3!A1=2,'Cashflow 500 KTPA'!G34,IF(Sheet3!A1=3,'Cashflow 500KT EDC VCM Cracking'!G32,IF(Sheet3!A1=4,'Cashflow - PVC Phenol Propane'!G35)))),0),"0,00")&amp;" INR Cr"</f>
        <v>26,597 INR Cr</v>
      </c>
      <c r="I9" t="str">
        <f>TEXT(ROUND(IF(A1=1,'Cashflow 350 KTPA'!G33,IF(Sheet3!A1=2,'Cashflow 500 KTPA'!G34,IF(Sheet3!A1=3,'Cashflow 500KT EDC VCM Cracking'!G32,IF(Sheet3!A1=4,'Cashflow - PVC Phenol Propane'!G35)))),0),"0,00")&amp;" INR Cr"</f>
        <v>26,597 INR Cr</v>
      </c>
    </row>
    <row r="10" spans="1:9">
      <c r="A10" s="864" t="s">
        <v>576</v>
      </c>
      <c r="B10" s="924" t="s">
        <v>118</v>
      </c>
      <c r="D10" s="864" t="s">
        <v>574</v>
      </c>
      <c r="E10" s="924" t="s">
        <v>118</v>
      </c>
    </row>
    <row r="11" spans="1:9">
      <c r="A11" s="866" t="s">
        <v>11</v>
      </c>
      <c r="B11" s="922">
        <f>IF($A$1=1,INDEX('Opex PVC'!$E$2:$E$20,MATCH(Sheet3!A11,'Opex PVC'!$A$2:$A$20,0)),IF($A$1=2,INDEX('Opex PVC'!$E$23:$E$41,MATCH(Sheet3!A11,'Opex PVC'!$A$23:$A$41,0)),IF($A$1=3,INDEX('Opex PVC'!$E$44:$E$60,MATCH(Sheet3!A11,'Opex PVC'!$A$44:$A$60,0)),IF($A$1=4,INDEX('Cashflow - PVC Phenol Propane'!$J$18:$J$25,MATCH(Sheet3!A11,'Cashflow - PVC Phenol Propane'!$B$18:$B$25,0))))))</f>
        <v>3038.9174875020026</v>
      </c>
      <c r="D11" s="866" t="s">
        <v>54</v>
      </c>
      <c r="E11" s="922" t="str" cm="1">
        <f t="array" ref="E11">IFERROR(INDEX((Capex!$D$3:$D$21,Capex!$H$3:$H$21,Capex!$L$3:$L$21),MATCH(Sheet3!D11,Capex!$B$3:$B$21,0),,$A$1),"")</f>
        <v/>
      </c>
      <c r="G11" s="864" t="s">
        <v>37</v>
      </c>
    </row>
    <row r="12" spans="1:9">
      <c r="A12" t="s">
        <v>12</v>
      </c>
      <c r="B12" s="923">
        <f>IF($A$1=1,INDEX('Opex PVC'!$E$2:$E$20,MATCH(Sheet3!A12,'Opex PVC'!$A$2:$A$20,0)),IF($A$1=2,INDEX('Opex PVC'!$E$23:$E$41,MATCH(Sheet3!A12,'Opex PVC'!$A$23:$A$41,0)),IF($A$1=3,INDEX('Opex PVC'!$E$44:$E$60,MATCH(Sheet3!A12,'Opex PVC'!$A$44:$A$60,0)),IF($A$1=4,INDEX('Cashflow - PVC Phenol Propane'!$J$18:$J$25,MATCH(Sheet3!A12,'Cashflow - PVC Phenol Propane'!$B$18:$B$25,0))))))</f>
        <v>2352.3129350334357</v>
      </c>
      <c r="D12" t="s">
        <v>56</v>
      </c>
      <c r="E12" s="923" t="str" cm="1">
        <f t="array" ref="E12">IFERROR(INDEX((Capex!$D$3:$D$21,Capex!$H$3:$H$21,Capex!$L$3:$L$21),MATCH(Sheet3!D12,Capex!$B$3:$B$21,0),,$A$1),"")</f>
        <v/>
      </c>
      <c r="G12" s="921">
        <f>IF(A1=1,'Cashflow 350 KTPA'!G34,IF(Sheet3!A1=2,'Cashflow 500 KTPA'!G35,IF(Sheet3!A1=3,'Cashflow 500KT EDC VCM Cracking'!G33,IF(Sheet3!A1=4,'Cashflow - PVC Phenol Propane'!G36))))</f>
        <v>0.20199479609618587</v>
      </c>
    </row>
    <row r="13" spans="1:9">
      <c r="A13" s="866" t="s">
        <v>14</v>
      </c>
      <c r="B13" s="922">
        <f>IF($A$1=1,INDEX('Opex PVC'!$E$2:$E$20,MATCH(Sheet3!A13,'Opex PVC'!$A$2:$A$20,0)),IF($A$1=2,INDEX('Opex PVC'!$E$23:$E$41,MATCH(Sheet3!A13,'Opex PVC'!$A$23:$A$41,0)),IF($A$1=3,INDEX('Opex PVC'!$E$44:$E$60,MATCH(Sheet3!A13,'Opex PVC'!$A$44:$A$60,0)),IF($A$1=4,INDEX('Cashflow - PVC Phenol Propane'!$J$18:$J$25,MATCH(Sheet3!A13,'Cashflow - PVC Phenol Propane'!$B$18:$B$25,0))))))</f>
        <v>149.50201821018209</v>
      </c>
      <c r="D13" s="866" t="s">
        <v>64</v>
      </c>
      <c r="E13" s="922" t="str" cm="1">
        <f t="array" ref="E13">IFERROR(INDEX((Capex!$D$3:$D$21,Capex!$H$3:$H$21,Capex!$L$3:$L$21),MATCH(Sheet3!D13,Capex!$B$3:$B$21,0),,$A$1),"")</f>
        <v/>
      </c>
    </row>
    <row r="14" spans="1:9">
      <c r="A14" t="s">
        <v>15</v>
      </c>
      <c r="B14" s="923">
        <f>IF($A$1=1,INDEX('Opex PVC'!$E$2:$E$20,MATCH(Sheet3!A14,'Opex PVC'!$A$2:$A$20,0)),IF($A$1=2,INDEX('Opex PVC'!$E$23:$E$41,MATCH(Sheet3!A14,'Opex PVC'!$A$23:$A$41,0)),IF($A$1=3,INDEX('Opex PVC'!$E$44:$E$60,MATCH(Sheet3!A14,'Opex PVC'!$A$44:$A$60,0)),IF($A$1=4,INDEX('Cashflow - PVC Phenol Propane'!$J$18:$J$25,MATCH(Sheet3!A14,'Cashflow - PVC Phenol Propane'!$B$18:$B$25,0))))))</f>
        <v>53.956955249999993</v>
      </c>
      <c r="D14" t="s">
        <v>71</v>
      </c>
      <c r="E14" s="923" t="str" cm="1">
        <f t="array" ref="E14">IFERROR(INDEX((Capex!$D$3:$D$21,Capex!$H$3:$H$21,Capex!$L$3:$L$21),MATCH(Sheet3!D14,Capex!$B$3:$B$21,0),,$A$1),"")</f>
        <v/>
      </c>
      <c r="G14" s="865" t="s">
        <v>580</v>
      </c>
    </row>
    <row r="15" spans="1:9">
      <c r="A15" s="866" t="s">
        <v>17</v>
      </c>
      <c r="B15" s="922">
        <f>IF($A$1=1,INDEX('Opex PVC'!$E$2:$E$20,MATCH(Sheet3!A15,'Opex PVC'!$A$2:$A$20,0)),IF($A$1=2,INDEX('Opex PVC'!$E$23:$E$41,MATCH(Sheet3!A15,'Opex PVC'!$A$23:$A$41,0)),IF($A$1=3,INDEX('Opex PVC'!$E$44:$E$60,MATCH(Sheet3!A15,'Opex PVC'!$A$44:$A$60,0)),IF($A$1=4,INDEX('Cashflow - PVC Phenol Propane'!$J$18:$J$25,MATCH(Sheet3!A15,'Cashflow - PVC Phenol Propane'!$B$18:$B$25,0))))))</f>
        <v>376.36641624999993</v>
      </c>
      <c r="D15" s="866" t="s">
        <v>73</v>
      </c>
      <c r="E15" s="922" t="str" cm="1">
        <f t="array" ref="E15">IFERROR(INDEX((Capex!$D$3:$D$21,Capex!$H$3:$H$21,Capex!$L$3:$L$21),MATCH(Sheet3!D15,Capex!$B$3:$B$21,0),,$A$1),"")</f>
        <v/>
      </c>
      <c r="G15" s="892" t="str">
        <f>ROUND(IF(A1=1,'Cashflow 350 KTPA'!G35,IF(Sheet3!A1=2,'Cashflow 500 KTPA'!G36,IF(Sheet3!A1=3,'Cashflow 500KT EDC VCM Cracking'!G34,IF(Sheet3!A1=4,'Cashflow - PVC Phenol Propane'!G37)))),1)&amp;" Yrs"</f>
        <v>3.1 Yrs</v>
      </c>
    </row>
    <row r="16" spans="1:9">
      <c r="A16" t="s">
        <v>20</v>
      </c>
      <c r="B16" s="923">
        <f>IF($A$1=1,INDEX('Opex PVC'!$E$2:$E$20,MATCH(Sheet3!A16,'Opex PVC'!$A$2:$A$20,0)),IF($A$1=2,INDEX('Opex PVC'!$E$23:$E$41,MATCH(Sheet3!A16,'Opex PVC'!$A$23:$A$41,0)),IF($A$1=3,INDEX('Opex PVC'!$E$44:$E$60,MATCH(Sheet3!A16,'Opex PVC'!$A$44:$A$60,0)),IF($A$1=4,INDEX('Cashflow - PVC Phenol Propane'!$J$18:$J$25,MATCH(Sheet3!A16,'Cashflow - PVC Phenol Propane'!$B$18:$B$25,0))))))</f>
        <v>106.7791627583848</v>
      </c>
      <c r="E16" s="923"/>
      <c r="I16" s="260"/>
    </row>
    <row r="17" spans="1:5">
      <c r="A17" s="866" t="s">
        <v>21</v>
      </c>
      <c r="B17" s="922">
        <f>IF($A$1=1,INDEX('Opex PVC'!$E$2:$E$20,MATCH(Sheet3!A17,'Opex PVC'!$A$2:$A$20,0)),IF($A$1=2,INDEX('Opex PVC'!$E$23:$E$41,MATCH(Sheet3!A17,'Opex PVC'!$A$23:$A$41,0)),IF($A$1=3,INDEX('Opex PVC'!$E$44:$E$60,MATCH(Sheet3!A17,'Opex PVC'!$A$44:$A$60,0)),IF($A$1=4,INDEX('Cashflow - PVC Phenol Propane'!$J$18:$J$25,MATCH(Sheet3!A17,'Cashflow - PVC Phenol Propane'!$B$18:$B$25,0))))))</f>
        <v>171.79861412612325</v>
      </c>
      <c r="D17" t="s">
        <v>108</v>
      </c>
      <c r="E17" s="923"/>
    </row>
    <row r="18" spans="1:5">
      <c r="A18" t="s">
        <v>30</v>
      </c>
      <c r="B18" s="923">
        <f>IF($A$1=1,INDEX('Opex PVC'!$E$2:$E$20,MATCH(Sheet3!A18,'Opex PVC'!$A$2:$A$20,0)),IF($A$1=2,INDEX('Opex PVC'!$E$23:$E$41,MATCH(Sheet3!A18,'Opex PVC'!$A$23:$A$41,0)),IF($A$1=3,INDEX('Opex PVC'!$E$44:$E$60,MATCH(Sheet3!A18,'Opex PVC'!$A$44:$A$60,0)),IF($A$1=4,INDEX('Cashflow - PVC Phenol Propane'!$J$18:$J$25,MATCH(Sheet3!A18,'Cashflow - PVC Phenol Propane'!$B$18:$B$25,0))))))</f>
        <v>3210.7161016281257</v>
      </c>
      <c r="D18" s="864" t="s">
        <v>574</v>
      </c>
      <c r="E18" s="924" t="s">
        <v>118</v>
      </c>
    </row>
    <row r="19" spans="1:5">
      <c r="B19" s="923"/>
      <c r="D19" t="s">
        <v>583</v>
      </c>
      <c r="E19" s="923">
        <f>Capex!D21</f>
        <v>4159.4497678079997</v>
      </c>
    </row>
    <row r="20" spans="1:5">
      <c r="A20" s="864" t="s">
        <v>577</v>
      </c>
      <c r="B20" s="924" t="s">
        <v>118</v>
      </c>
      <c r="D20" t="s">
        <v>584</v>
      </c>
      <c r="E20" s="923">
        <f>[5]Capex!$D$22</f>
        <v>1768.675</v>
      </c>
    </row>
    <row r="21" spans="1:5">
      <c r="A21" s="866" t="s">
        <v>578</v>
      </c>
      <c r="B21" s="925">
        <f>IF($A$1=1,'Opex PVC'!E3+'Opex PVC'!E11+'Opex PVC'!E17+'Opex PVC'!E8,IF($A$1=2,'Opex PVC'!E24+'Opex PVC'!E32+'Opex PVC'!E38,IF($A$1=3,'Opex PVC'!E45+'Opex PVC'!E51+'Opex PVC'!E57,IF($A$1=4,'Cashflow - PVC Phenol Propane'!J18+'Cashflow - PVC Phenol Propane'!J19+'Cashflow - PVC Phenol Propane'!J21+'Cashflow - PVC Phenol Propane'!J23))))</f>
        <v>3049.9799836197408</v>
      </c>
      <c r="D21" t="s">
        <v>582</v>
      </c>
      <c r="E21" s="923">
        <f>'Cashflow - PVC Phenol Propane'!G9</f>
        <v>2370</v>
      </c>
    </row>
    <row r="22" spans="1:5">
      <c r="A22" t="s">
        <v>145</v>
      </c>
      <c r="B22" s="926">
        <f>IF($A$1=1,'Opex PVC'!E9+'Opex PVC'!E14,IF($A$1=2,'Opex PVC'!E35+'Opex PVC'!E30,IF($A$1=3,'Opex PVC'!E49+'Opex PVC'!E54,IF($A$1=4,'Cashflow - PVC Phenol Propane'!J20+'Cashflow - PVC Phenol Propane'!J22))))</f>
        <v>160.73611800838478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033E3-2702-4954-88E1-F4D90747F385}">
  <sheetPr codeName="Sheet6"/>
  <dimension ref="A1:V19"/>
  <sheetViews>
    <sheetView showGridLines="0" tabSelected="1" zoomScale="90" zoomScaleNormal="90" workbookViewId="0">
      <selection activeCell="B7" sqref="B7"/>
    </sheetView>
  </sheetViews>
  <sheetFormatPr defaultRowHeight="15"/>
  <cols>
    <col min="1" max="1" width="7.140625" style="860" customWidth="1"/>
    <col min="2" max="2" width="18.28515625" style="860" bestFit="1" customWidth="1"/>
    <col min="3" max="3" width="7.85546875" style="860" bestFit="1" customWidth="1"/>
    <col min="4" max="4" width="13.5703125" style="860" bestFit="1" customWidth="1"/>
    <col min="5" max="5" width="17.42578125" style="860" customWidth="1"/>
    <col min="6" max="6" width="3" style="860" customWidth="1"/>
    <col min="7" max="7" width="10.28515625" style="860" customWidth="1"/>
    <col min="8" max="14" width="9.140625" style="860"/>
    <col min="15" max="15" width="3.42578125" style="860" customWidth="1"/>
    <col min="16" max="16" width="9.140625" style="860"/>
    <col min="17" max="17" width="8" style="860" customWidth="1"/>
    <col min="18" max="18" width="9.140625" style="860"/>
    <col min="19" max="19" width="8.140625" style="860" customWidth="1"/>
    <col min="20" max="20" width="9.140625" style="860" customWidth="1"/>
    <col min="21" max="21" width="7.28515625" style="860" customWidth="1"/>
    <col min="22" max="22" width="9" style="860" customWidth="1"/>
    <col min="23" max="16384" width="9.140625" style="860"/>
  </cols>
  <sheetData>
    <row r="1" spans="1:22" ht="15" customHeight="1">
      <c r="A1" s="859">
        <f>IF(B7="Scenario 1",1,IF(B7="Scenario 2",2,IF(B7="Scenario 3",3,4)))</f>
        <v>4</v>
      </c>
    </row>
    <row r="2" spans="1:22" ht="15" customHeight="1">
      <c r="A2"/>
    </row>
    <row r="6" spans="1:22" ht="2.25" customHeight="1"/>
    <row r="7" spans="1:22" ht="15" customHeight="1">
      <c r="B7" s="913" t="s">
        <v>108</v>
      </c>
    </row>
    <row r="8" spans="1:22" ht="20.25" customHeight="1">
      <c r="A8" s="914"/>
      <c r="B8" s="915" t="s">
        <v>12</v>
      </c>
      <c r="C8" s="916" t="s">
        <v>79</v>
      </c>
      <c r="D8" s="917" t="s">
        <v>143</v>
      </c>
      <c r="E8" s="918"/>
      <c r="G8" s="908" t="s">
        <v>588</v>
      </c>
      <c r="H8" s="909"/>
      <c r="I8" s="909"/>
      <c r="J8" s="909">
        <v>2029</v>
      </c>
      <c r="K8" s="909"/>
      <c r="L8" s="909"/>
      <c r="M8" s="909"/>
      <c r="N8" s="910"/>
      <c r="P8" s="911" t="s">
        <v>587</v>
      </c>
      <c r="Q8" s="897"/>
      <c r="R8" s="897"/>
      <c r="S8" s="897"/>
      <c r="T8" s="897"/>
      <c r="U8" s="897"/>
      <c r="V8" s="898"/>
    </row>
    <row r="9" spans="1:22">
      <c r="B9" s="861" t="str" cm="1">
        <f t="array" ref="B9:B11">IF(Dashboard!$A$1=1,_xlfn._xlws.FILTER('Opex PVC'!$A$4:$A$7,'Opex PVC'!B4:B7),IF(Dashboard!$A$1=2,_xlfn._xlws.FILTER('Opex PVC'!$A$25:$A$28,'Opex PVC'!$B$25:$B$28),IF(Dashboard!$A$1=3,_xlfn._xlws.FILTER('Opex PVC'!$A$46:$A$47,'Opex PVC'!$B$46:$B$47),IF(Dashboard!$A$1=4,_xlfn._xlws.FILTER('Opex PVC'!$A$65:$A$67,'Opex PVC'!$B$65:$B$67)))))</f>
        <v>Ethylene</v>
      </c>
      <c r="C9" s="862">
        <f>IFERROR(IF(Dashboard!$A$1=1,INDEX('Opex PVC'!$B$4:$C$7,MATCH(Dashboard!$B9,'Opex PVC'!$A$4:$A$7,0),MATCH(Dashboard!C$8,'Opex PVC'!$B$3:$C$3,0)),IF(Dashboard!$A$1=2,INDEX('Opex PVC'!$B$25:$C$29,MATCH(Dashboard!$B9,'Opex PVC'!$A$25:$A$29,0),MATCH(Dashboard!C$8,'Opex PVC'!$B$24:$C$24,0)),IF(Dashboard!$A$1=3,INDEX('Opex PVC'!$B$46:$C$48,MATCH(Dashboard!$B9,'Opex PVC'!$A$46:$A$48,0),MATCH(Dashboard!C$8,'Opex PVC'!$B$45:$C$45,0)),IF(Dashboard!$A$1=4,INDEX('Opex PVC'!$B$65:$C$67,MATCH(Dashboard!$B9,'Opex PVC'!$A$65:$A$67,0),MATCH(Dashboard!C$8,'Opex PVC'!$B$64:$C$64,0)))))),"")</f>
        <v>161200</v>
      </c>
      <c r="D9" s="919">
        <f>IFERROR(IF(Dashboard!$A$1=1,INDEX('Opex PVC'!$B$4:$C$7,MATCH(Dashboard!$B9,'Opex PVC'!$A$4:$A$7,0),MATCH(Dashboard!D$8,'Opex PVC'!$B$3:$C$3,0)),IF(Dashboard!$A$1=2,INDEX('Opex PVC'!$B$25:$C$29,MATCH(Dashboard!$B9,'Opex PVC'!$A$25:$A$29,0),MATCH(Dashboard!D$8,'Opex PVC'!$B$24:$C$24,0)),IF(Dashboard!$A$1=3,INDEX('Opex PVC'!$B$46:$C$48,MATCH(Dashboard!$B9,'Opex PVC'!$A$46:$A$48,0),MATCH(Dashboard!D$8,'Opex PVC'!$B$45:$C$45,0)),IF(Dashboard!$A$1=4,INDEX('Opex PVC'!$B$65:$C$67,MATCH(Dashboard!$B9,'Opex PVC'!$A$65:$A$67,0),MATCH(Dashboard!D$8,'Opex PVC'!$B$64:$C$64,0)))))),"")</f>
        <v>37679.592030365828</v>
      </c>
      <c r="E9" s="919"/>
    </row>
    <row r="10" spans="1:22">
      <c r="B10" s="861" t="str">
        <v xml:space="preserve">Chlorine </v>
      </c>
      <c r="C10" s="862">
        <f>IFERROR(IF(Dashboard!$A$1=1,INDEX('Opex PVC'!$B$4:$C$7,MATCH(Dashboard!$B10,'Opex PVC'!$A$4:$A$7,0),MATCH(Dashboard!C$8,'Opex PVC'!$B$3:$C$3,0)),IF(Dashboard!$A$1=2,INDEX('Opex PVC'!$B$25:$C$29,MATCH(Dashboard!$B10,'Opex PVC'!$A$25:$A$29,0),MATCH(Dashboard!C$8,'Opex PVC'!$B$24:$C$24,0)),IF(Dashboard!$A$1=3,INDEX('Opex PVC'!$B$46:$C$48,MATCH(Dashboard!$B10,'Opex PVC'!$A$46:$A$48,0),MATCH(Dashboard!C$8,'Opex PVC'!$B$45:$C$45,0)),IF(Dashboard!$A$1=4,INDEX('Opex PVC'!$B$65:$C$67,MATCH(Dashboard!$B10,'Opex PVC'!$A$65:$A$67,0),MATCH(Dashboard!C$8,'Opex PVC'!$B$64:$C$64,0)))))),"")</f>
        <v>206500</v>
      </c>
      <c r="D10" s="919">
        <f>IFERROR(IF(Dashboard!$A$1=1,INDEX('Opex PVC'!$B$4:$C$7,MATCH(Dashboard!$B10,'Opex PVC'!$A$4:$A$7,0),MATCH(Dashboard!D$8,'Opex PVC'!$B$3:$C$3,0)),IF(Dashboard!$A$1=2,INDEX('Opex PVC'!$B$25:$C$29,MATCH(Dashboard!$B10,'Opex PVC'!$A$25:$A$29,0),MATCH(Dashboard!D$8,'Opex PVC'!$B$24:$C$24,0)),IF(Dashboard!$A$1=3,INDEX('Opex PVC'!$B$46:$C$48,MATCH(Dashboard!$B10,'Opex PVC'!$A$46:$A$48,0),MATCH(Dashboard!D$8,'Opex PVC'!$B$45:$C$45,0)),IF(Dashboard!$A$1=4,INDEX('Opex PVC'!$B$65:$C$67,MATCH(Dashboard!$B10,'Opex PVC'!$A$65:$A$67,0),MATCH(Dashboard!D$8,'Opex PVC'!$B$64:$C$64,0)))))),"")</f>
        <v>5900</v>
      </c>
      <c r="E10" s="919"/>
    </row>
    <row r="11" spans="1:22">
      <c r="B11" s="861" t="str">
        <v>Oxygen</v>
      </c>
      <c r="C11" s="862">
        <f>IFERROR(IF(Dashboard!$A$1=1,INDEX('Opex PVC'!$B$4:$C$7,MATCH(Dashboard!$B11,'Opex PVC'!$A$4:$A$7,0),MATCH(Dashboard!C$8,'Opex PVC'!$B$3:$C$3,0)),IF(Dashboard!$A$1=2,INDEX('Opex PVC'!$B$25:$C$29,MATCH(Dashboard!$B11,'Opex PVC'!$A$25:$A$29,0),MATCH(Dashboard!C$8,'Opex PVC'!$B$24:$C$24,0)),IF(Dashboard!$A$1=3,INDEX('Opex PVC'!$B$46:$C$48,MATCH(Dashboard!$B11,'Opex PVC'!$A$46:$A$48,0),MATCH(Dashboard!C$8,'Opex PVC'!$B$45:$C$45,0)),IF(Dashboard!$A$1=4,INDEX('Opex PVC'!$B$65:$C$67,MATCH(Dashboard!$B11,'Opex PVC'!$A$65:$A$67,0),MATCH(Dashboard!C$8,'Opex PVC'!$B$64:$C$64,0)))))),"")</f>
        <v>49000</v>
      </c>
      <c r="D11" s="919">
        <f>IFERROR(IF(Dashboard!$A$1=1,INDEX('Opex PVC'!$B$4:$C$7,MATCH(Dashboard!$B11,'Opex PVC'!$A$4:$A$7,0),MATCH(Dashboard!D$8,'Opex PVC'!$B$3:$C$3,0)),IF(Dashboard!$A$1=2,INDEX('Opex PVC'!$B$25:$C$29,MATCH(Dashboard!$B11,'Opex PVC'!$A$25:$A$29,0),MATCH(Dashboard!D$8,'Opex PVC'!$B$24:$C$24,0)),IF(Dashboard!$A$1=3,INDEX('Opex PVC'!$B$46:$C$48,MATCH(Dashboard!$B11,'Opex PVC'!$A$46:$A$48,0),MATCH(Dashboard!D$8,'Opex PVC'!$B$45:$C$45,0)),IF(Dashboard!$A$1=4,INDEX('Opex PVC'!$B$65:$C$67,MATCH(Dashboard!$B11,'Opex PVC'!$A$65:$A$67,0),MATCH(Dashboard!D$8,'Opex PVC'!$B$64:$C$64,0)))))),"")</f>
        <v>5550</v>
      </c>
      <c r="E11" s="919"/>
    </row>
    <row r="12" spans="1:22">
      <c r="A12" s="912"/>
      <c r="B12" s="920"/>
      <c r="C12" s="862" t="str">
        <f>IFERROR(IF(Dashboard!$A$1=1,INDEX('Opex PVC'!$B$4:$C$7,MATCH(Dashboard!$B12,'Opex PVC'!$A$4:$A$7,0),MATCH(Dashboard!C$8,'Opex PVC'!$B$3:$C$3,0)),IF(Dashboard!$A$1=2,INDEX('Opex PVC'!$B$25:$C$29,MATCH(Dashboard!$B12,'Opex PVC'!$A$25:$A$29,0),MATCH(Dashboard!C$8,'Opex PVC'!$B$24:$C$24,0)),IF(Dashboard!$A$1=3,INDEX('Opex PVC'!$B$46:$C$48,MATCH(Dashboard!$B12,'Opex PVC'!$A$46:$A$48,0),MATCH(Dashboard!C$8,'Opex PVC'!$B$45:$C$45,0)),IF(Dashboard!$A$1=4,INDEX('Opex PVC'!$B$65:$C$67,MATCH(Dashboard!$B12,'Opex PVC'!$A$65:$A$67,0),MATCH(Dashboard!C$8,'Opex PVC'!$B$64:$C$64,0)))))),"")</f>
        <v/>
      </c>
      <c r="D12" s="919" t="str">
        <f>IFERROR(IF(Dashboard!$A$1=1,INDEX('Opex PVC'!$B$4:$C$7,MATCH(Dashboard!$B12,'Opex PVC'!$A$4:$A$7,0),MATCH(Dashboard!D$8,'Opex PVC'!$B$3:$C$3,0)),IF(Dashboard!$A$1=2,INDEX('Opex PVC'!$B$25:$C$29,MATCH(Dashboard!$B12,'Opex PVC'!$A$25:$A$29,0),MATCH(Dashboard!D$8,'Opex PVC'!$B$24:$C$24,0)),IF(Dashboard!$A$1=3,INDEX('Opex PVC'!$B$46:$C$48,MATCH(Dashboard!$B12,'Opex PVC'!$A$46:$A$48,0),MATCH(Dashboard!D$8,'Opex PVC'!$B$45:$C$45,0)),IF(Dashboard!$A$1=4,INDEX('Opex PVC'!$B$65:$C$67,MATCH(Dashboard!$B12,'Opex PVC'!$A$65:$A$67,0),MATCH(Dashboard!D$8,'Opex PVC'!$B$64:$C$64,0)))))),"")</f>
        <v/>
      </c>
      <c r="E12" s="862"/>
    </row>
    <row r="13" spans="1:22">
      <c r="B13" s="861"/>
      <c r="C13" s="862" t="str">
        <f>IFERROR(IF(Dashboard!$A$1=1,INDEX('Opex PVC'!$B$4:$C$7,MATCH(Dashboard!$B13,'Opex PVC'!$A$4:$A$7,0),MATCH(Dashboard!C$8,'Opex PVC'!$B$3:$C$3,0)),IF(Dashboard!$A$1=2,INDEX('Opex PVC'!$B$25:$C$29,MATCH(Dashboard!$B13,'Opex PVC'!$A$25:$A$29,0),MATCH(Dashboard!C$8,'Opex PVC'!$B$24:$C$24,0)),IF(Dashboard!$A$1=3,INDEX('Opex PVC'!$B$46:$C$48,MATCH(Dashboard!$B13,'Opex PVC'!$A$46:$A$48,0),MATCH(Dashboard!C$8,'Opex PVC'!$B$45:$C$45,0)),IF(Dashboard!$A$1=4,INDEX('Opex PVC'!$B$65:$C$67,MATCH(Dashboard!$B13,'Opex PVC'!$A$65:$A$67,0),MATCH(Dashboard!C$8,'Opex PVC'!$B$64:$C$64,0)))))),"")</f>
        <v/>
      </c>
      <c r="D13" s="862" t="str">
        <f>IFERROR(IF(Dashboard!$A$1=1,INDEX('Opex PVC'!$B$4:$C$7,MATCH(Dashboard!$B13,'Opex PVC'!$A$4:$A$7,0),MATCH(Dashboard!D$8,'Opex PVC'!$B$3:$C$3,0)),IF(Dashboard!$A$1=2,INDEX('Opex PVC'!$B$25:$C$29,MATCH(Dashboard!$B13,'Opex PVC'!$A$25:$A$29,0),MATCH(Dashboard!D$8,'Opex PVC'!$B$24:$C$24,0)),IF(Dashboard!$A$1=3,INDEX('Opex PVC'!$B$46:$C$48,MATCH(Dashboard!$B13,'Opex PVC'!$A$46:$A$48,0),MATCH(Dashboard!D$8,'Opex PVC'!$B$45:$C$45,0)),IF(Dashboard!$A$1=4,INDEX('Opex PVC'!$B$65:$C$67,MATCH(Dashboard!$B13,'Opex PVC'!$A$65:$A$67,0),MATCH(Dashboard!D$8,'Opex PVC'!$B$64:$C$64,0)))))),"")</f>
        <v/>
      </c>
      <c r="E13" s="862"/>
      <c r="I13" s="860" t="str">
        <f>IFERROR(IFERROR(INDEX(('Opex PVC'!$B$4:$C$7,'Opex PVC'!$B$25:$C$28,'Opex PVC'!$B$46:$C$47,'Opex PVC'!$B$65:$C$67),MATCH(Dashboard!$F13,'Opex PVC'!$A$4:$A$7,0),MATCH(Dashboard!D$8,'Opex PVC'!$B$3:$C$3,0),$A$1),INDEX('Opex PVC'!$B$46:$B$47,MATCH(Dashboard!F13,'Opex PVC'!$A$46:$A$47,0))),"")</f>
        <v/>
      </c>
    </row>
    <row r="14" spans="1:22">
      <c r="B14" s="861"/>
      <c r="C14" s="862" t="str">
        <f>IFERROR(IF(Dashboard!$A$1=1,INDEX('Opex PVC'!$B$4:$C$7,MATCH(Dashboard!$B14,'Opex PVC'!$A$4:$A$7,0),MATCH(Dashboard!C$8,'Opex PVC'!$B$3:$C$3,0)),IF(Dashboard!$A$1=2,INDEX('Opex PVC'!$B$25:$C$29,MATCH(Dashboard!$B14,'Opex PVC'!$A$25:$A$29,0),MATCH(Dashboard!C$8,'Opex PVC'!$B$24:$C$24,0)),IF(Dashboard!$A$1=3,INDEX('Opex PVC'!$B$46:$C$48,MATCH(Dashboard!$B14,'Opex PVC'!$A$46:$A$48,0),MATCH(Dashboard!C$8,'Opex PVC'!$B$45:$C$45,0)),IF(Dashboard!$A$1=4,INDEX('Opex PVC'!$B$65:$C$67,MATCH(Dashboard!$B14,'Opex PVC'!$A$65:$A$67,0),MATCH(Dashboard!C$8,'Opex PVC'!$B$64:$C$64,0)))))),"")</f>
        <v/>
      </c>
      <c r="D14" s="862" t="str">
        <f>IFERROR(IF(Dashboard!$A$1=1,INDEX('Opex PVC'!$B$4:$C$7,MATCH(Dashboard!$B14,'Opex PVC'!$A$4:$A$7,0),MATCH(Dashboard!D$8,'Opex PVC'!$B$3:$C$3,0)),IF(Dashboard!$A$1=2,INDEX('Opex PVC'!$B$25:$C$29,MATCH(Dashboard!$B14,'Opex PVC'!$A$25:$A$29,0),MATCH(Dashboard!D$8,'Opex PVC'!$B$24:$C$24,0)),IF(Dashboard!$A$1=3,INDEX('Opex PVC'!$B$46:$C$48,MATCH(Dashboard!$B14,'Opex PVC'!$A$46:$A$48,0),MATCH(Dashboard!D$8,'Opex PVC'!$B$45:$C$45,0)),IF(Dashboard!$A$1=4,INDEX('Opex PVC'!$B$65:$C$67,MATCH(Dashboard!$B14,'Opex PVC'!$A$65:$A$67,0),MATCH(Dashboard!D$8,'Opex PVC'!$B$64:$C$64,0)))))),"")</f>
        <v/>
      </c>
      <c r="E14" s="862"/>
    </row>
    <row r="15" spans="1:22">
      <c r="B15" s="861"/>
      <c r="C15" s="862"/>
      <c r="D15" s="863"/>
      <c r="E15" s="863"/>
    </row>
    <row r="19" spans="1:14" ht="18.75">
      <c r="A19" s="911" t="s">
        <v>586</v>
      </c>
      <c r="B19" s="897"/>
      <c r="C19" s="897"/>
      <c r="D19" s="897"/>
      <c r="E19" s="897"/>
      <c r="F19"/>
      <c r="G19" s="911" t="s">
        <v>107</v>
      </c>
      <c r="H19" s="911"/>
      <c r="I19" s="911"/>
      <c r="J19" s="911"/>
      <c r="K19" s="911"/>
      <c r="L19" s="911"/>
      <c r="M19" s="911"/>
      <c r="N19" s="911"/>
    </row>
  </sheetData>
  <conditionalFormatting sqref="D15:E15">
    <cfRule type="dataBar" priority="2">
      <dataBar>
        <cfvo type="min"/>
        <cfvo type="max"/>
        <color rgb="FFFFB628"/>
      </dataBar>
      <extLst>
        <ext xmlns:x14="http://schemas.microsoft.com/office/spreadsheetml/2009/9/main" uri="{B025F937-C7B1-47D3-B67F-A62EFF666E3E}">
          <x14:id>{C53ECD1B-D182-4687-9469-605DF484B8E4}</x14:id>
        </ext>
      </extLst>
    </cfRule>
    <cfRule type="dataBar" priority="4">
      <dataBar>
        <cfvo type="min"/>
        <cfvo type="max"/>
        <color rgb="FFD6007B"/>
      </dataBar>
      <extLst>
        <ext xmlns:x14="http://schemas.microsoft.com/office/spreadsheetml/2009/9/main" uri="{B025F937-C7B1-47D3-B67F-A62EFF666E3E}">
          <x14:id>{DF0285CA-5F04-43E8-A2C6-ADEEF53C3E62}</x14:id>
        </ext>
      </extLst>
    </cfRule>
  </conditionalFormatting>
  <conditionalFormatting sqref="E9:E14 C15">
    <cfRule type="dataBar" priority="3">
      <dataBar>
        <cfvo type="min"/>
        <cfvo type="max"/>
        <color rgb="FFFFB628"/>
      </dataBar>
      <extLst>
        <ext xmlns:x14="http://schemas.microsoft.com/office/spreadsheetml/2009/9/main" uri="{B025F937-C7B1-47D3-B67F-A62EFF666E3E}">
          <x14:id>{B415694A-A06D-4854-BED8-105412171046}</x14:id>
        </ext>
      </extLst>
    </cfRule>
  </conditionalFormatting>
  <conditionalFormatting sqref="E9:E14">
    <cfRule type="dataBar" priority="1">
      <dataBar>
        <cfvo type="min"/>
        <cfvo type="max"/>
        <color rgb="FFFFB628"/>
      </dataBar>
      <extLst>
        <ext xmlns:x14="http://schemas.microsoft.com/office/spreadsheetml/2009/9/main" uri="{B025F937-C7B1-47D3-B67F-A62EFF666E3E}">
          <x14:id>{5EE539F9-75AC-4A35-836C-12C78EC53A44}</x14:id>
        </ext>
      </extLst>
    </cfRule>
  </conditionalFormatting>
  <dataValidations count="1">
    <dataValidation type="list" allowBlank="1" showInputMessage="1" showErrorMessage="1" sqref="B7" xr:uid="{DAED34D6-05FA-4E64-960E-4F33A829657B}">
      <formula1>"Scenario 1,Scenario 2,Scenario 3, Scenario 4"</formula1>
    </dataValidation>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C53ECD1B-D182-4687-9469-605DF484B8E4}">
            <x14:dataBar minLength="0" maxLength="100" border="1" negativeBarBorderColorSameAsPositive="0">
              <x14:cfvo type="autoMin"/>
              <x14:cfvo type="autoMax"/>
              <x14:borderColor rgb="FFFFB628"/>
              <x14:negativeFillColor rgb="FFFF0000"/>
              <x14:negativeBorderColor rgb="FFFF0000"/>
              <x14:axisColor rgb="FF000000"/>
            </x14:dataBar>
          </x14:cfRule>
          <x14:cfRule type="dataBar" id="{DF0285CA-5F04-43E8-A2C6-ADEEF53C3E62}">
            <x14:dataBar minLength="0" maxLength="100" border="1" negativeBarBorderColorSameAsPositive="0">
              <x14:cfvo type="autoMin"/>
              <x14:cfvo type="autoMax"/>
              <x14:borderColor rgb="FFD6007B"/>
              <x14:negativeFillColor rgb="FFFF0000"/>
              <x14:negativeBorderColor rgb="FFFF0000"/>
              <x14:axisColor rgb="FF000000"/>
            </x14:dataBar>
          </x14:cfRule>
          <xm:sqref>D15:E15</xm:sqref>
        </x14:conditionalFormatting>
        <x14:conditionalFormatting xmlns:xm="http://schemas.microsoft.com/office/excel/2006/main">
          <x14:cfRule type="dataBar" id="{B415694A-A06D-4854-BED8-105412171046}">
            <x14:dataBar minLength="0" maxLength="100" border="1" direction="rightToLeft" negativeBarBorderColorSameAsPositive="0">
              <x14:cfvo type="autoMin"/>
              <x14:cfvo type="autoMax"/>
              <x14:borderColor rgb="FFFFB628"/>
              <x14:negativeFillColor rgb="FFFF0000"/>
              <x14:negativeBorderColor rgb="FFFF0000"/>
              <x14:axisColor rgb="FF000000"/>
            </x14:dataBar>
          </x14:cfRule>
          <xm:sqref>E9:E14 C15</xm:sqref>
        </x14:conditionalFormatting>
        <x14:conditionalFormatting xmlns:xm="http://schemas.microsoft.com/office/excel/2006/main">
          <x14:cfRule type="dataBar" id="{5EE539F9-75AC-4A35-836C-12C78EC53A44}">
            <x14:dataBar minLength="0" maxLength="100" border="1" direction="rightToLeft" negativeBarBorderColorSameAsPositive="0">
              <x14:cfvo type="autoMin"/>
              <x14:cfvo type="autoMax"/>
              <x14:borderColor rgb="FFFFB628"/>
              <x14:negativeFillColor rgb="FFFF0000"/>
              <x14:negativeBorderColor rgb="FFFF0000"/>
              <x14:axisColor rgb="FF000000"/>
            </x14:dataBar>
          </x14:cfRule>
          <xm:sqref>E9:E14</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D2AAF785-5A14-4E14-BEF3-DA6CA2264174}">
          <x14:formula1>
            <xm:f>'Cashflow 350 KTPA'!$XFD$1:$XFD$23</xm:f>
          </x14:formula1>
          <xm:sqref>J8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7B300-A484-4625-AD65-8B65230AAC96}">
  <sheetPr codeName="Sheet21"/>
  <dimension ref="A1:I6"/>
  <sheetViews>
    <sheetView showGridLines="0" zoomScale="110" zoomScaleNormal="110" workbookViewId="0">
      <pane ySplit="1" topLeftCell="A2" activePane="bottomLeft" state="frozen"/>
      <selection activeCell="D41" sqref="D41"/>
      <selection pane="bottomLeft" activeCell="A16" sqref="A16"/>
    </sheetView>
  </sheetViews>
  <sheetFormatPr defaultRowHeight="11.25"/>
  <cols>
    <col min="1" max="1" width="169.140625" style="613" customWidth="1"/>
    <col min="2" max="2" width="18.5703125" style="613" bestFit="1" customWidth="1"/>
    <col min="3" max="3" width="13.140625" style="613" customWidth="1"/>
    <col min="4" max="4" width="14.7109375" style="613" customWidth="1"/>
    <col min="5" max="5" width="14.28515625" style="613" customWidth="1"/>
    <col min="6" max="6" width="13.28515625" style="613" customWidth="1"/>
    <col min="7" max="7" width="16.5703125" style="613" customWidth="1"/>
    <col min="8" max="8" width="12.85546875" style="613" customWidth="1"/>
    <col min="9" max="9" width="13" style="613" customWidth="1"/>
    <col min="10" max="10" width="13.85546875" style="613" customWidth="1"/>
    <col min="11" max="11" width="11.42578125" style="613" customWidth="1"/>
    <col min="12" max="12" width="21" style="613" bestFit="1" customWidth="1"/>
    <col min="13" max="13" width="9.140625" style="613"/>
    <col min="14" max="14" width="17.7109375" style="613" bestFit="1" customWidth="1"/>
    <col min="15" max="15" width="25" style="613" bestFit="1" customWidth="1"/>
    <col min="16" max="16" width="9.140625" style="613"/>
    <col min="17" max="17" width="17.7109375" style="613" bestFit="1" customWidth="1"/>
    <col min="18" max="18" width="21" style="613" bestFit="1" customWidth="1"/>
    <col min="19" max="19" width="9.140625" style="613"/>
    <col min="20" max="20" width="17.7109375" style="613" bestFit="1" customWidth="1"/>
    <col min="21" max="21" width="24" style="613" bestFit="1" customWidth="1"/>
    <col min="22" max="16384" width="9.140625" style="613"/>
  </cols>
  <sheetData>
    <row r="1" spans="1:9">
      <c r="A1" s="793" t="s">
        <v>546</v>
      </c>
    </row>
    <row r="2" spans="1:9" ht="24.75" customHeight="1">
      <c r="A2" s="794" t="s">
        <v>547</v>
      </c>
    </row>
    <row r="3" spans="1:9" ht="33.75" customHeight="1">
      <c r="A3" s="795" t="s">
        <v>549</v>
      </c>
      <c r="B3" s="796"/>
      <c r="C3" s="796"/>
      <c r="D3" s="796"/>
      <c r="E3" s="796"/>
      <c r="F3" s="796"/>
      <c r="G3" s="796"/>
      <c r="H3" s="796"/>
      <c r="I3" s="797"/>
    </row>
    <row r="4" spans="1:9" ht="25.5" customHeight="1">
      <c r="A4" s="794" t="s">
        <v>548</v>
      </c>
      <c r="B4" s="290"/>
      <c r="C4" s="290"/>
      <c r="D4" s="290"/>
      <c r="E4" s="290"/>
      <c r="F4" s="290"/>
      <c r="G4" s="290"/>
      <c r="H4" s="290"/>
      <c r="I4" s="798"/>
    </row>
    <row r="5" spans="1:9" ht="29.25" customHeight="1">
      <c r="A5" s="794" t="s">
        <v>550</v>
      </c>
    </row>
    <row r="6" spans="1:9" ht="14.25" customHeight="1"/>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5F770-ACB4-4E04-8684-D750A201A87B}">
  <sheetPr codeName="Sheet2"/>
  <dimension ref="A1:H31"/>
  <sheetViews>
    <sheetView showGridLines="0" zoomScale="84" zoomScaleNormal="84" workbookViewId="0">
      <pane xSplit="2" ySplit="1" topLeftCell="E2" activePane="bottomRight" state="frozen"/>
      <selection activeCell="C13" sqref="C13"/>
      <selection pane="topRight" activeCell="C13" sqref="C13"/>
      <selection pane="bottomLeft" activeCell="C13" sqref="C13"/>
      <selection pane="bottomRight" activeCell="F3" sqref="F3"/>
    </sheetView>
  </sheetViews>
  <sheetFormatPr defaultRowHeight="12.75"/>
  <cols>
    <col min="1" max="1" width="9.42578125" style="801" customWidth="1"/>
    <col min="2" max="2" width="26" style="801" bestFit="1" customWidth="1"/>
    <col min="3" max="3" width="36.28515625" style="801" customWidth="1"/>
    <col min="4" max="4" width="77.85546875" style="801" customWidth="1"/>
    <col min="5" max="5" width="40.5703125" style="801" customWidth="1"/>
    <col min="6" max="6" width="44" style="801" customWidth="1"/>
    <col min="7" max="7" width="37.28515625" style="801" customWidth="1"/>
    <col min="8" max="8" width="46.42578125" style="801" customWidth="1"/>
    <col min="9" max="9" width="11.7109375" style="801" customWidth="1"/>
    <col min="10" max="16384" width="9.140625" style="801"/>
  </cols>
  <sheetData>
    <row r="1" spans="1:8" ht="52.5" customHeight="1">
      <c r="A1" s="799" t="s">
        <v>553</v>
      </c>
      <c r="B1" s="800"/>
      <c r="C1" s="1012" t="str">
        <f>'[7]Background and Option Evaluated'!A2</f>
        <v>Option 1 : Capacity of 200 KTPA Phenol and 123 KTPA Acetone capacity (Propane Furnace Additional)</v>
      </c>
      <c r="D1" s="1013"/>
      <c r="E1" s="1014" t="s">
        <v>554</v>
      </c>
      <c r="F1" s="1015"/>
      <c r="G1" s="1014" t="str">
        <f>'[7]Background and Option Evaluated'!A4</f>
        <v>Option 3 : Capacity for 200 KTPA Phenol + 120 KTPA Acetone, (Propylene - 80 % in house and 20 % external procurement)</v>
      </c>
      <c r="H1" s="1015"/>
    </row>
    <row r="2" spans="1:8" ht="19.5" customHeight="1">
      <c r="A2" s="1016" t="s">
        <v>573</v>
      </c>
      <c r="B2" s="802" t="s">
        <v>99</v>
      </c>
      <c r="C2" s="803" t="s">
        <v>555</v>
      </c>
      <c r="D2" s="804" t="s">
        <v>556</v>
      </c>
      <c r="E2" s="803" t="s">
        <v>555</v>
      </c>
      <c r="F2" s="804" t="s">
        <v>556</v>
      </c>
      <c r="G2" s="803" t="s">
        <v>555</v>
      </c>
      <c r="H2" s="804" t="s">
        <v>556</v>
      </c>
    </row>
    <row r="3" spans="1:8">
      <c r="A3" s="1017"/>
      <c r="B3" s="805" t="s">
        <v>2</v>
      </c>
      <c r="C3" s="806">
        <v>91750</v>
      </c>
      <c r="D3" s="807">
        <f>'[7]Financial Model High Propane'!CM70</f>
        <v>52578.253724148555</v>
      </c>
      <c r="E3" s="808">
        <v>73400</v>
      </c>
      <c r="F3" s="809">
        <f>'[7]Financial Model Base Case'!CM70</f>
        <v>53119.883382014108</v>
      </c>
      <c r="G3" s="810">
        <v>91750</v>
      </c>
      <c r="H3" s="809">
        <v>55650</v>
      </c>
    </row>
    <row r="4" spans="1:8" ht="21.75" customHeight="1">
      <c r="A4" s="1018"/>
      <c r="B4" s="805" t="s">
        <v>3</v>
      </c>
      <c r="C4" s="806">
        <v>164000</v>
      </c>
      <c r="D4" s="807">
        <f>'[7]Financial Model High Propane'!CM7</f>
        <v>49804.452380952382</v>
      </c>
      <c r="E4" s="808">
        <v>131200</v>
      </c>
      <c r="F4" s="809">
        <v>49804.452380952403</v>
      </c>
      <c r="G4" s="808">
        <v>164000</v>
      </c>
      <c r="H4" s="809">
        <v>49804.452380952382</v>
      </c>
    </row>
    <row r="5" spans="1:8">
      <c r="A5" s="1019" t="s">
        <v>106</v>
      </c>
      <c r="B5" s="811" t="s">
        <v>142</v>
      </c>
      <c r="C5" s="812">
        <v>44400</v>
      </c>
      <c r="D5" s="813">
        <v>5830</v>
      </c>
      <c r="E5" s="811">
        <v>30950</v>
      </c>
      <c r="F5" s="809">
        <f t="shared" ref="F5:F18" si="0">D5</f>
        <v>5830</v>
      </c>
      <c r="G5" s="814">
        <f t="shared" ref="G5:G10" si="1">C5</f>
        <v>44400</v>
      </c>
      <c r="H5" s="815">
        <v>5830</v>
      </c>
    </row>
    <row r="6" spans="1:8">
      <c r="A6" s="1020"/>
      <c r="B6" s="808" t="s">
        <v>133</v>
      </c>
      <c r="C6" s="816">
        <f>2278*365</f>
        <v>831470</v>
      </c>
      <c r="D6" s="817">
        <v>4.1779999999999999</v>
      </c>
      <c r="E6" s="808">
        <v>681900</v>
      </c>
      <c r="F6" s="809">
        <f t="shared" si="0"/>
        <v>4.1779999999999999</v>
      </c>
      <c r="G6" s="818">
        <f t="shared" si="1"/>
        <v>831470</v>
      </c>
      <c r="H6" s="819">
        <v>4.1779999999999999</v>
      </c>
    </row>
    <row r="7" spans="1:8">
      <c r="A7" s="1020"/>
      <c r="B7" s="808" t="s">
        <v>132</v>
      </c>
      <c r="C7" s="816">
        <v>71620</v>
      </c>
      <c r="D7" s="817">
        <v>90.86</v>
      </c>
      <c r="E7" s="808">
        <v>58700</v>
      </c>
      <c r="F7" s="809">
        <f t="shared" si="0"/>
        <v>90.86</v>
      </c>
      <c r="G7" s="818">
        <f t="shared" si="1"/>
        <v>71620</v>
      </c>
      <c r="H7" s="819">
        <v>90.86</v>
      </c>
    </row>
    <row r="8" spans="1:8">
      <c r="A8" s="1020"/>
      <c r="B8" s="808" t="s">
        <v>131</v>
      </c>
      <c r="C8" s="816">
        <v>141300</v>
      </c>
      <c r="D8" s="820">
        <v>10450</v>
      </c>
      <c r="E8" s="808">
        <v>115866</v>
      </c>
      <c r="F8" s="809">
        <f t="shared" si="0"/>
        <v>10450</v>
      </c>
      <c r="G8" s="818">
        <f t="shared" si="1"/>
        <v>141300</v>
      </c>
      <c r="H8" s="819">
        <v>10450</v>
      </c>
    </row>
    <row r="9" spans="1:8">
      <c r="A9" s="1020"/>
      <c r="B9" s="808" t="s">
        <v>130</v>
      </c>
      <c r="C9" s="816">
        <v>2032</v>
      </c>
      <c r="D9" s="817">
        <v>52</v>
      </c>
      <c r="E9" s="808">
        <v>1667</v>
      </c>
      <c r="F9" s="809">
        <f t="shared" si="0"/>
        <v>52</v>
      </c>
      <c r="G9" s="818">
        <f t="shared" si="1"/>
        <v>2032</v>
      </c>
      <c r="H9" s="819">
        <v>52</v>
      </c>
    </row>
    <row r="10" spans="1:8" ht="14.25" customHeight="1">
      <c r="A10" s="1021"/>
      <c r="B10" s="821" t="s">
        <v>557</v>
      </c>
      <c r="C10" s="822">
        <v>445</v>
      </c>
      <c r="D10" s="823">
        <v>57</v>
      </c>
      <c r="E10" s="821">
        <v>365</v>
      </c>
      <c r="F10" s="809">
        <f t="shared" si="0"/>
        <v>57</v>
      </c>
      <c r="G10" s="824">
        <f t="shared" si="1"/>
        <v>445</v>
      </c>
      <c r="H10" s="825">
        <v>57</v>
      </c>
    </row>
    <row r="11" spans="1:8" ht="14.25" customHeight="1">
      <c r="A11" s="1010" t="s">
        <v>558</v>
      </c>
      <c r="B11" s="826" t="s">
        <v>559</v>
      </c>
      <c r="C11" s="812">
        <f>0.0244*200000</f>
        <v>4880</v>
      </c>
      <c r="D11" s="827">
        <v>27500</v>
      </c>
      <c r="E11" s="828">
        <v>4105</v>
      </c>
      <c r="F11" s="809">
        <f t="shared" si="0"/>
        <v>27500</v>
      </c>
      <c r="G11" s="829">
        <f>0.0244*200000</f>
        <v>4880</v>
      </c>
      <c r="H11" s="811">
        <f t="shared" ref="H11:H18" si="2">D11</f>
        <v>27500</v>
      </c>
    </row>
    <row r="12" spans="1:8" ht="14.25" customHeight="1">
      <c r="A12" s="1011"/>
      <c r="B12" s="805" t="s">
        <v>560</v>
      </c>
      <c r="C12" s="816">
        <f>0.0082*200000</f>
        <v>1640.0000000000002</v>
      </c>
      <c r="D12" s="830">
        <v>14300</v>
      </c>
      <c r="E12" s="828">
        <v>359</v>
      </c>
      <c r="F12" s="809">
        <f t="shared" si="0"/>
        <v>14300</v>
      </c>
      <c r="G12" s="820">
        <f>0.0082*200000</f>
        <v>1640.0000000000002</v>
      </c>
      <c r="H12" s="808">
        <f t="shared" si="2"/>
        <v>14300</v>
      </c>
    </row>
    <row r="13" spans="1:8" ht="14.25" customHeight="1">
      <c r="A13" s="1011"/>
      <c r="B13" s="805" t="s">
        <v>561</v>
      </c>
      <c r="C13" s="816">
        <f>0.00001*200000</f>
        <v>2</v>
      </c>
      <c r="D13" s="830">
        <v>135000</v>
      </c>
      <c r="E13" s="828">
        <v>1.65</v>
      </c>
      <c r="F13" s="809">
        <f t="shared" si="0"/>
        <v>135000</v>
      </c>
      <c r="G13" s="820">
        <f>0.00001*200000</f>
        <v>2</v>
      </c>
      <c r="H13" s="808">
        <f t="shared" si="2"/>
        <v>135000</v>
      </c>
    </row>
    <row r="14" spans="1:8" ht="14.25" customHeight="1">
      <c r="A14" s="1011"/>
      <c r="B14" s="805" t="s">
        <v>562</v>
      </c>
      <c r="C14" s="816">
        <v>4.5</v>
      </c>
      <c r="D14" s="830">
        <v>43500</v>
      </c>
      <c r="E14" s="828">
        <v>3.7</v>
      </c>
      <c r="F14" s="809">
        <f t="shared" si="0"/>
        <v>43500</v>
      </c>
      <c r="G14" s="820">
        <v>4.5</v>
      </c>
      <c r="H14" s="808">
        <f t="shared" si="2"/>
        <v>43500</v>
      </c>
    </row>
    <row r="15" spans="1:8" ht="14.25" customHeight="1">
      <c r="A15" s="1011"/>
      <c r="B15" s="805" t="s">
        <v>563</v>
      </c>
      <c r="C15" s="816">
        <f>0.00007*200000</f>
        <v>13.999999999999998</v>
      </c>
      <c r="D15" s="830">
        <v>63000</v>
      </c>
      <c r="E15" s="828">
        <v>11.5</v>
      </c>
      <c r="F15" s="809">
        <f t="shared" si="0"/>
        <v>63000</v>
      </c>
      <c r="G15" s="820">
        <f>0.00007*200000</f>
        <v>13.999999999999998</v>
      </c>
      <c r="H15" s="808">
        <f t="shared" si="2"/>
        <v>63000</v>
      </c>
    </row>
    <row r="16" spans="1:8" ht="14.25" customHeight="1">
      <c r="A16" s="831"/>
      <c r="B16" s="805" t="s">
        <v>564</v>
      </c>
      <c r="C16" s="816">
        <v>5.4</v>
      </c>
      <c r="D16" s="832">
        <v>194000</v>
      </c>
      <c r="E16" s="828">
        <v>4.45</v>
      </c>
      <c r="F16" s="809">
        <f t="shared" si="0"/>
        <v>194000</v>
      </c>
      <c r="G16" s="820">
        <v>5.4</v>
      </c>
      <c r="H16" s="808">
        <f t="shared" si="2"/>
        <v>194000</v>
      </c>
    </row>
    <row r="17" spans="1:8" ht="14.25" customHeight="1">
      <c r="A17" s="831"/>
      <c r="B17" s="805" t="s">
        <v>565</v>
      </c>
      <c r="C17" s="816">
        <v>54.45</v>
      </c>
      <c r="D17" s="832">
        <v>4400</v>
      </c>
      <c r="E17" s="828">
        <v>44.65</v>
      </c>
      <c r="F17" s="809">
        <f t="shared" si="0"/>
        <v>4400</v>
      </c>
      <c r="G17" s="820">
        <v>54.45</v>
      </c>
      <c r="H17" s="808">
        <f t="shared" si="2"/>
        <v>4400</v>
      </c>
    </row>
    <row r="18" spans="1:8" ht="14.25" customHeight="1" thickBot="1">
      <c r="A18" s="831"/>
      <c r="B18" s="805" t="s">
        <v>557</v>
      </c>
      <c r="C18" s="816">
        <v>65000</v>
      </c>
      <c r="D18" s="832">
        <v>12000</v>
      </c>
      <c r="E18" s="828">
        <v>53300</v>
      </c>
      <c r="F18" s="809">
        <f t="shared" si="0"/>
        <v>12000</v>
      </c>
      <c r="G18" s="820">
        <v>65000</v>
      </c>
      <c r="H18" s="821">
        <f t="shared" si="2"/>
        <v>12000</v>
      </c>
    </row>
    <row r="19" spans="1:8">
      <c r="A19" s="833"/>
      <c r="B19" s="834" t="s">
        <v>4</v>
      </c>
      <c r="C19" s="835" t="s">
        <v>555</v>
      </c>
      <c r="D19" s="836" t="s">
        <v>566</v>
      </c>
      <c r="E19" s="837" t="s">
        <v>555</v>
      </c>
      <c r="F19" s="838" t="s">
        <v>566</v>
      </c>
      <c r="G19" s="837" t="s">
        <v>555</v>
      </c>
      <c r="H19" s="839" t="s">
        <v>566</v>
      </c>
    </row>
    <row r="20" spans="1:8">
      <c r="A20" s="833"/>
      <c r="B20" s="840" t="s">
        <v>460</v>
      </c>
      <c r="C20" s="841">
        <v>200000</v>
      </c>
      <c r="D20" s="842">
        <f>'[7]Financial Model (84 Months)'!CM57</f>
        <v>77038.391071428574</v>
      </c>
      <c r="E20" s="362">
        <f>200000*0.8</f>
        <v>160000</v>
      </c>
      <c r="F20" s="809">
        <f>H20</f>
        <v>77038.391071428574</v>
      </c>
      <c r="G20" s="362">
        <v>200000</v>
      </c>
      <c r="H20" s="843">
        <f>D20</f>
        <v>77038.391071428574</v>
      </c>
    </row>
    <row r="21" spans="1:8">
      <c r="A21" s="833"/>
      <c r="B21" s="840" t="s">
        <v>461</v>
      </c>
      <c r="C21" s="841">
        <v>120000</v>
      </c>
      <c r="D21" s="842">
        <f>'[7]Financial Model (84 Months)'!CM56</f>
        <v>58590.053407738094</v>
      </c>
      <c r="E21" s="362">
        <f>120000*0.8</f>
        <v>96000</v>
      </c>
      <c r="F21" s="809">
        <f>H21</f>
        <v>58590.053407738094</v>
      </c>
      <c r="G21" s="362">
        <v>120000</v>
      </c>
      <c r="H21" s="843">
        <f>D21</f>
        <v>58590.053407738094</v>
      </c>
    </row>
    <row r="22" spans="1:8" s="1" customFormat="1">
      <c r="A22" s="34"/>
      <c r="B22" s="225"/>
      <c r="C22" s="225"/>
      <c r="D22" s="225"/>
      <c r="E22" s="225"/>
      <c r="F22" s="844"/>
      <c r="G22" s="225"/>
      <c r="H22" s="225"/>
    </row>
    <row r="23" spans="1:8" s="1" customFormat="1"/>
    <row r="24" spans="1:8">
      <c r="B24" s="1"/>
      <c r="C24" s="1"/>
      <c r="D24" s="1"/>
    </row>
    <row r="25" spans="1:8">
      <c r="B25" s="1"/>
    </row>
    <row r="26" spans="1:8">
      <c r="E26" s="1"/>
      <c r="F26" s="1"/>
      <c r="G26" s="1"/>
      <c r="H26" s="1"/>
    </row>
    <row r="27" spans="1:8">
      <c r="E27" s="1"/>
      <c r="F27" s="1"/>
      <c r="G27" s="1"/>
      <c r="H27" s="1"/>
    </row>
    <row r="28" spans="1:8">
      <c r="E28" s="1"/>
      <c r="F28" s="1"/>
      <c r="G28" s="1"/>
      <c r="H28" s="1"/>
    </row>
    <row r="29" spans="1:8">
      <c r="E29" s="1"/>
      <c r="F29" s="1"/>
      <c r="G29" s="1"/>
      <c r="H29" s="1"/>
    </row>
    <row r="30" spans="1:8">
      <c r="E30" s="1"/>
      <c r="F30" s="1"/>
      <c r="G30" s="1"/>
      <c r="H30" s="1"/>
    </row>
    <row r="31" spans="1:8">
      <c r="E31" s="1"/>
      <c r="F31" s="1"/>
      <c r="G31" s="1"/>
      <c r="H31" s="1"/>
    </row>
  </sheetData>
  <mergeCells count="6">
    <mergeCell ref="A11:A15"/>
    <mergeCell ref="C1:D1"/>
    <mergeCell ref="E1:F1"/>
    <mergeCell ref="G1:H1"/>
    <mergeCell ref="A2:A4"/>
    <mergeCell ref="A5:A10"/>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CFDFD-6BEA-4B45-BF04-7767A0D6A24F}">
  <sheetPr codeName="Sheet22"/>
  <dimension ref="A1:FW76"/>
  <sheetViews>
    <sheetView showGridLines="0" zoomScale="96" zoomScaleNormal="96" workbookViewId="0">
      <selection activeCell="E12" sqref="E12:E15"/>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66.140625" style="337" customWidth="1"/>
    <col min="7" max="7" width="14.7109375" style="337" customWidth="1"/>
    <col min="8" max="8" width="18.7109375" style="337" customWidth="1"/>
    <col min="9" max="9" width="19.28515625" style="337" customWidth="1"/>
    <col min="10" max="10" width="16.140625" style="337" customWidth="1"/>
    <col min="11" max="11" width="15.85546875" style="337" customWidth="1"/>
    <col min="12" max="12" width="15.5703125" style="337" customWidth="1"/>
    <col min="13" max="14" width="14" style="337" customWidth="1"/>
    <col min="15" max="15" width="16.5703125" style="337" customWidth="1"/>
    <col min="16" max="16" width="13.85546875" style="337" bestFit="1" customWidth="1"/>
    <col min="17" max="17" width="14.5703125" style="337" customWidth="1"/>
    <col min="18" max="18" width="13.7109375" style="337" customWidth="1"/>
    <col min="19" max="19" width="16.7109375" style="337" customWidth="1"/>
    <col min="20" max="20" width="16.28515625" style="337" customWidth="1"/>
    <col min="21" max="21" width="16.5703125" style="337" customWidth="1"/>
    <col min="22" max="22" width="17.85546875" style="337" customWidth="1"/>
    <col min="23" max="42" width="16.28515625" style="337" customWidth="1"/>
    <col min="43" max="43" width="15.42578125" style="337" customWidth="1"/>
    <col min="44" max="45" width="16.28515625" style="337" customWidth="1"/>
    <col min="46" max="46" width="18.7109375" style="338" bestFit="1" customWidth="1"/>
    <col min="47" max="90" width="15.85546875" style="1" bestFit="1" customWidth="1"/>
    <col min="91" max="91" width="25.85546875" style="58"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627" t="s">
        <v>301</v>
      </c>
      <c r="B1" s="627" t="s">
        <v>302</v>
      </c>
      <c r="C1" s="628" t="s">
        <v>147</v>
      </c>
      <c r="D1" s="628" t="s">
        <v>163</v>
      </c>
      <c r="E1" s="627" t="s">
        <v>303</v>
      </c>
      <c r="F1" s="629" t="s">
        <v>4</v>
      </c>
      <c r="G1" s="630">
        <v>41913</v>
      </c>
      <c r="H1" s="630">
        <v>41944</v>
      </c>
      <c r="I1" s="630">
        <v>41974</v>
      </c>
      <c r="J1" s="630">
        <v>42005</v>
      </c>
      <c r="K1" s="630">
        <v>42036</v>
      </c>
      <c r="L1" s="630">
        <v>42064</v>
      </c>
      <c r="M1" s="630">
        <v>42095</v>
      </c>
      <c r="N1" s="630">
        <v>42125</v>
      </c>
      <c r="O1" s="630">
        <v>42156</v>
      </c>
      <c r="P1" s="630">
        <v>42186</v>
      </c>
      <c r="Q1" s="630">
        <v>42217</v>
      </c>
      <c r="R1" s="630">
        <v>42248</v>
      </c>
      <c r="S1" s="630">
        <v>42278</v>
      </c>
      <c r="T1" s="630">
        <v>42309</v>
      </c>
      <c r="U1" s="630">
        <v>42339</v>
      </c>
      <c r="V1" s="630">
        <v>42370</v>
      </c>
      <c r="W1" s="630">
        <v>42401</v>
      </c>
      <c r="X1" s="630">
        <v>42430</v>
      </c>
      <c r="Y1" s="630">
        <v>42461</v>
      </c>
      <c r="Z1" s="630">
        <v>42491</v>
      </c>
      <c r="AA1" s="630">
        <v>42522</v>
      </c>
      <c r="AB1" s="630">
        <v>42552</v>
      </c>
      <c r="AC1" s="630">
        <v>42583</v>
      </c>
      <c r="AD1" s="630">
        <v>42614</v>
      </c>
      <c r="AE1" s="630">
        <v>42644</v>
      </c>
      <c r="AF1" s="630">
        <v>42675</v>
      </c>
      <c r="AG1" s="630">
        <v>42705</v>
      </c>
      <c r="AH1" s="630">
        <v>42736</v>
      </c>
      <c r="AI1" s="630">
        <v>42767</v>
      </c>
      <c r="AJ1" s="630">
        <v>42795</v>
      </c>
      <c r="AK1" s="630">
        <v>42826</v>
      </c>
      <c r="AL1" s="630">
        <v>42856</v>
      </c>
      <c r="AM1" s="630">
        <v>42887</v>
      </c>
      <c r="AN1" s="630">
        <v>42917</v>
      </c>
      <c r="AO1" s="630">
        <v>42948</v>
      </c>
      <c r="AP1" s="630">
        <v>42979</v>
      </c>
      <c r="AQ1" s="630">
        <v>43009</v>
      </c>
      <c r="AR1" s="630">
        <v>43040</v>
      </c>
      <c r="AS1" s="630">
        <v>43070</v>
      </c>
      <c r="AT1" s="630">
        <v>43101</v>
      </c>
      <c r="AU1" s="630">
        <v>43132</v>
      </c>
      <c r="AV1" s="630">
        <v>43160</v>
      </c>
      <c r="AW1" s="630">
        <v>43191</v>
      </c>
      <c r="AX1" s="630">
        <v>43221</v>
      </c>
      <c r="AY1" s="630">
        <v>43252</v>
      </c>
      <c r="AZ1" s="630">
        <v>43282</v>
      </c>
      <c r="BA1" s="630">
        <v>43313</v>
      </c>
      <c r="BB1" s="630">
        <v>43344</v>
      </c>
      <c r="BC1" s="630">
        <v>43374</v>
      </c>
      <c r="BD1" s="630">
        <v>43405</v>
      </c>
      <c r="BE1" s="630">
        <v>43435</v>
      </c>
      <c r="BF1" s="630">
        <v>43466</v>
      </c>
      <c r="BG1" s="630">
        <v>43497</v>
      </c>
      <c r="BH1" s="630">
        <v>43525</v>
      </c>
      <c r="BI1" s="630">
        <v>43556</v>
      </c>
      <c r="BJ1" s="630">
        <v>43586</v>
      </c>
      <c r="BK1" s="630">
        <v>43617</v>
      </c>
      <c r="BL1" s="630">
        <v>43647</v>
      </c>
      <c r="BM1" s="630">
        <v>43678</v>
      </c>
      <c r="BN1" s="630">
        <v>43709</v>
      </c>
      <c r="BO1" s="630">
        <v>43739</v>
      </c>
      <c r="BP1" s="630">
        <v>43770</v>
      </c>
      <c r="BQ1" s="630">
        <v>43800</v>
      </c>
      <c r="BR1" s="630">
        <v>43831</v>
      </c>
      <c r="BS1" s="630">
        <v>43862</v>
      </c>
      <c r="BT1" s="630">
        <v>43891</v>
      </c>
      <c r="BU1" s="630">
        <v>43922</v>
      </c>
      <c r="BV1" s="630">
        <v>43952</v>
      </c>
      <c r="BW1" s="630">
        <v>43983</v>
      </c>
      <c r="BX1" s="630">
        <v>44013</v>
      </c>
      <c r="BY1" s="630">
        <v>44044</v>
      </c>
      <c r="BZ1" s="630">
        <v>44075</v>
      </c>
      <c r="CA1" s="630">
        <v>44105</v>
      </c>
      <c r="CB1" s="630">
        <v>44136</v>
      </c>
      <c r="CC1" s="630">
        <v>44166</v>
      </c>
      <c r="CD1" s="630">
        <v>44197</v>
      </c>
      <c r="CE1" s="630">
        <v>44228</v>
      </c>
      <c r="CF1" s="630">
        <v>44256</v>
      </c>
      <c r="CG1" s="630">
        <v>44287</v>
      </c>
      <c r="CH1" s="630">
        <v>44317</v>
      </c>
      <c r="CI1" s="630">
        <v>44348</v>
      </c>
      <c r="CJ1" s="630">
        <v>44378</v>
      </c>
      <c r="CK1" s="630">
        <v>44409</v>
      </c>
      <c r="CL1" s="630">
        <v>44440</v>
      </c>
      <c r="CM1" s="631" t="s">
        <v>406</v>
      </c>
      <c r="CN1" s="245"/>
      <c r="CO1" s="245"/>
      <c r="CP1" s="245"/>
      <c r="CQ1" s="245"/>
      <c r="CR1" s="245"/>
      <c r="CS1" s="245"/>
      <c r="CT1" s="245"/>
      <c r="CU1" s="245"/>
      <c r="CV1" s="245"/>
      <c r="CW1" s="245"/>
      <c r="CX1" s="245"/>
      <c r="CY1" s="245"/>
      <c r="CZ1" s="245"/>
      <c r="DA1" s="245"/>
      <c r="DB1" s="245"/>
      <c r="DC1" s="245"/>
      <c r="DD1" s="245"/>
      <c r="DE1" s="245"/>
      <c r="DF1" s="245"/>
      <c r="DG1" s="245"/>
      <c r="DH1" s="245"/>
      <c r="DI1" s="245"/>
      <c r="DJ1" s="245"/>
      <c r="DK1" s="245"/>
      <c r="DL1" s="245"/>
      <c r="DM1" s="245"/>
      <c r="DN1" s="245"/>
      <c r="DO1" s="245"/>
      <c r="DP1" s="245"/>
      <c r="DQ1" s="245"/>
      <c r="DR1" s="245"/>
      <c r="DS1" s="245"/>
      <c r="DT1" s="245"/>
      <c r="DU1" s="245"/>
      <c r="DV1" s="245"/>
      <c r="DW1" s="245"/>
      <c r="DX1" s="245"/>
      <c r="DY1" s="245"/>
      <c r="DZ1" s="245"/>
      <c r="EA1" s="245"/>
      <c r="EB1" s="245"/>
      <c r="EC1" s="245"/>
      <c r="ED1" s="245"/>
      <c r="EE1" s="245"/>
      <c r="EF1" s="245"/>
      <c r="EG1" s="245"/>
      <c r="EH1" s="245"/>
      <c r="EI1" s="245"/>
      <c r="EJ1" s="245"/>
      <c r="EK1" s="245"/>
      <c r="EL1" s="245"/>
      <c r="EM1" s="245"/>
      <c r="EN1" s="245"/>
      <c r="EO1" s="245"/>
      <c r="EP1" s="245"/>
      <c r="EQ1" s="245"/>
      <c r="ER1" s="245"/>
      <c r="ES1" s="245"/>
      <c r="ET1" s="245"/>
      <c r="EU1" s="245"/>
      <c r="EV1" s="245"/>
      <c r="EW1" s="245"/>
      <c r="EX1" s="245"/>
      <c r="EY1" s="245"/>
      <c r="EZ1" s="245"/>
      <c r="FA1" s="245"/>
      <c r="FB1" s="245"/>
      <c r="FC1" s="245"/>
      <c r="FD1" s="245"/>
      <c r="FE1" s="245"/>
      <c r="FF1" s="245"/>
      <c r="FG1" s="245"/>
      <c r="FH1" s="245"/>
      <c r="FI1" s="245"/>
      <c r="FJ1" s="245"/>
      <c r="FK1" s="245"/>
      <c r="FL1" s="245"/>
      <c r="FM1" s="245"/>
      <c r="FN1" s="245"/>
      <c r="FO1" s="245"/>
      <c r="FP1" s="245"/>
      <c r="FQ1" s="245"/>
      <c r="FR1" s="245"/>
      <c r="FS1" s="245"/>
      <c r="FT1" s="245"/>
      <c r="FU1" s="245"/>
      <c r="FV1" s="245"/>
    </row>
    <row r="2" spans="1:178">
      <c r="A2" s="1024" t="s">
        <v>304</v>
      </c>
      <c r="B2" s="632" t="s">
        <v>305</v>
      </c>
      <c r="C2" s="633" t="s">
        <v>143</v>
      </c>
      <c r="D2" s="633"/>
      <c r="E2" s="634" t="s">
        <v>351</v>
      </c>
      <c r="F2" s="635" t="s">
        <v>149</v>
      </c>
      <c r="G2" s="635">
        <v>27200</v>
      </c>
      <c r="H2" s="635">
        <v>26500</v>
      </c>
      <c r="I2" s="635">
        <v>22100</v>
      </c>
      <c r="J2" s="635">
        <v>20800</v>
      </c>
      <c r="K2" s="635">
        <v>21100</v>
      </c>
      <c r="L2" s="635">
        <v>21750</v>
      </c>
      <c r="M2" s="635">
        <v>21300</v>
      </c>
      <c r="N2" s="635">
        <v>20990</v>
      </c>
      <c r="O2" s="635">
        <v>20650</v>
      </c>
      <c r="P2" s="635">
        <v>20330</v>
      </c>
      <c r="Q2" s="635">
        <v>20100</v>
      </c>
      <c r="R2" s="635">
        <v>19450</v>
      </c>
      <c r="S2" s="636">
        <v>20360</v>
      </c>
      <c r="T2" s="636">
        <v>19847</v>
      </c>
      <c r="U2" s="636">
        <v>19057</v>
      </c>
      <c r="V2" s="636">
        <v>22064</v>
      </c>
      <c r="W2" s="636">
        <v>21150</v>
      </c>
      <c r="X2" s="636">
        <v>18838</v>
      </c>
      <c r="Y2" s="636">
        <v>12077</v>
      </c>
      <c r="Z2" s="636">
        <v>13904</v>
      </c>
      <c r="AA2" s="636">
        <v>13226</v>
      </c>
      <c r="AB2" s="636">
        <v>13231</v>
      </c>
      <c r="AC2" s="636">
        <v>14922</v>
      </c>
      <c r="AD2" s="636">
        <v>14108</v>
      </c>
      <c r="AE2" s="636">
        <v>11044</v>
      </c>
      <c r="AF2" s="636">
        <v>15271</v>
      </c>
      <c r="AG2" s="636">
        <v>15211</v>
      </c>
      <c r="AH2" s="636">
        <v>17994</v>
      </c>
      <c r="AI2" s="636">
        <v>19354</v>
      </c>
      <c r="AJ2" s="636">
        <v>23522</v>
      </c>
      <c r="AK2" s="636">
        <v>24045</v>
      </c>
      <c r="AL2" s="636">
        <v>20362</v>
      </c>
      <c r="AM2" s="636">
        <v>19459</v>
      </c>
      <c r="AN2" s="636">
        <v>20413</v>
      </c>
      <c r="AO2" s="636">
        <v>15226</v>
      </c>
      <c r="AP2" s="636">
        <v>16877</v>
      </c>
      <c r="AQ2" s="636">
        <v>28834</v>
      </c>
      <c r="AR2" s="636">
        <v>29076</v>
      </c>
      <c r="AS2" s="636">
        <v>29937</v>
      </c>
      <c r="AT2" s="637">
        <v>28994.924777010401</v>
      </c>
      <c r="AU2" s="636">
        <v>29083.53795837006</v>
      </c>
      <c r="AV2" s="636">
        <v>34366.504780699324</v>
      </c>
      <c r="AW2" s="636">
        <v>33560.84076592559</v>
      </c>
      <c r="AX2" s="636">
        <v>26218.900621677058</v>
      </c>
      <c r="AY2" s="636">
        <v>35995.3751249493</v>
      </c>
      <c r="AZ2" s="636">
        <v>40427.168047868036</v>
      </c>
      <c r="BA2" s="636">
        <v>41802.471042837584</v>
      </c>
      <c r="BB2" s="636">
        <v>42113.614300327099</v>
      </c>
      <c r="BC2" s="636">
        <v>25996.232831627069</v>
      </c>
      <c r="BD2" s="636">
        <v>23233.174449043679</v>
      </c>
      <c r="BE2" s="636">
        <v>23262.637969758925</v>
      </c>
      <c r="BF2" s="636">
        <v>23907.7292329458</v>
      </c>
      <c r="BG2" s="636">
        <v>23317.963262738322</v>
      </c>
      <c r="BH2" s="636">
        <v>23383.118785073329</v>
      </c>
      <c r="BI2" s="636">
        <v>24651.246231346595</v>
      </c>
      <c r="BJ2" s="636">
        <v>24557.925586871806</v>
      </c>
      <c r="BK2" s="636">
        <v>24829.484559121953</v>
      </c>
      <c r="BL2" s="636">
        <v>25055.43026719796</v>
      </c>
      <c r="BM2" s="636">
        <v>25788.630012426867</v>
      </c>
      <c r="BN2" s="636">
        <v>24643.230588247261</v>
      </c>
      <c r="BO2" s="636">
        <v>22952.67731483098</v>
      </c>
      <c r="BP2" s="636">
        <v>22947.88884116093</v>
      </c>
      <c r="BQ2" s="636">
        <v>23317.24351414209</v>
      </c>
      <c r="BR2" s="636">
        <v>23890.571956586806</v>
      </c>
      <c r="BS2" s="636">
        <v>24228.610372014118</v>
      </c>
      <c r="BT2" s="636">
        <v>23541.978231953181</v>
      </c>
      <c r="BU2" s="636">
        <v>20644.541889138898</v>
      </c>
      <c r="BV2" s="636">
        <v>20890.304335565754</v>
      </c>
      <c r="BW2" s="636">
        <v>21374.533561952143</v>
      </c>
      <c r="BX2" s="636">
        <v>20823.815492546022</v>
      </c>
      <c r="BY2" s="636">
        <v>21262.530692823591</v>
      </c>
      <c r="BZ2" s="636">
        <v>21999.186981115297</v>
      </c>
      <c r="CA2" s="636">
        <v>19071.183854484243</v>
      </c>
      <c r="CB2" s="636">
        <v>18416.612908296738</v>
      </c>
      <c r="CC2" s="636">
        <v>19631.38584711331</v>
      </c>
      <c r="CD2" s="636">
        <v>18862.12739731725</v>
      </c>
      <c r="CE2" s="636">
        <v>19417.545218868301</v>
      </c>
      <c r="CF2" s="636">
        <v>19573.277993613043</v>
      </c>
      <c r="CG2" s="636">
        <v>19181.382115766464</v>
      </c>
      <c r="CH2" s="636">
        <v>19438.661485292767</v>
      </c>
      <c r="CI2" s="636">
        <v>19349.709140187424</v>
      </c>
      <c r="CJ2" s="636">
        <v>19586.01839165475</v>
      </c>
      <c r="CK2" s="636">
        <v>18872.315054019989</v>
      </c>
      <c r="CL2" s="635">
        <v>18949.614134508891</v>
      </c>
      <c r="CM2" s="636">
        <f t="shared" ref="CM2:CM57" si="0">AVERAGE(G2:CL2)</f>
        <v>22322.534022869251</v>
      </c>
      <c r="CN2" s="638" t="s">
        <v>164</v>
      </c>
      <c r="CO2" s="638"/>
      <c r="CP2" s="638"/>
      <c r="CQ2" s="638"/>
      <c r="CR2" s="638"/>
      <c r="CS2" s="638"/>
      <c r="CT2" s="638"/>
      <c r="CU2" s="638"/>
      <c r="CV2" s="638"/>
      <c r="CW2" s="638"/>
      <c r="CX2" s="638"/>
      <c r="CY2" s="638"/>
      <c r="CZ2" s="638"/>
      <c r="DA2" s="638"/>
      <c r="DB2" s="638"/>
      <c r="DC2" s="638"/>
      <c r="DD2" s="638"/>
      <c r="DE2" s="638"/>
      <c r="DF2" s="638"/>
      <c r="DG2" s="638"/>
      <c r="DH2" s="638"/>
      <c r="DI2" s="638"/>
      <c r="DJ2" s="638"/>
      <c r="DK2" s="638"/>
      <c r="DL2" s="638"/>
      <c r="DM2" s="638"/>
      <c r="DN2" s="638"/>
      <c r="DO2" s="638"/>
      <c r="DP2" s="638"/>
      <c r="DQ2" s="638"/>
      <c r="DR2" s="638"/>
      <c r="DS2" s="638"/>
      <c r="DT2" s="638"/>
      <c r="DU2" s="638"/>
      <c r="DV2" s="638"/>
      <c r="DW2" s="638"/>
      <c r="DX2" s="638"/>
      <c r="DY2" s="638"/>
      <c r="DZ2" s="638"/>
      <c r="EA2" s="638"/>
      <c r="EB2" s="638"/>
      <c r="EC2" s="245"/>
      <c r="ED2" s="245"/>
      <c r="EE2" s="245"/>
      <c r="EF2" s="245"/>
      <c r="EG2" s="245"/>
      <c r="EH2" s="245"/>
      <c r="EI2" s="245"/>
      <c r="EJ2" s="245"/>
      <c r="EK2" s="245"/>
      <c r="EL2" s="245"/>
      <c r="EM2" s="245"/>
      <c r="EN2" s="245"/>
      <c r="EO2" s="245"/>
      <c r="EP2" s="245"/>
      <c r="EQ2" s="245"/>
      <c r="ER2" s="245"/>
      <c r="ES2" s="245"/>
      <c r="ET2" s="245"/>
      <c r="EU2" s="245"/>
      <c r="EV2" s="245"/>
      <c r="EW2" s="245"/>
      <c r="EX2" s="245"/>
      <c r="EY2" s="245"/>
      <c r="EZ2" s="245"/>
      <c r="FA2" s="245"/>
      <c r="FB2" s="245"/>
      <c r="FC2" s="245"/>
      <c r="FD2" s="245"/>
      <c r="FE2" s="245"/>
      <c r="FF2" s="245"/>
      <c r="FG2" s="245"/>
      <c r="FH2" s="245"/>
      <c r="FI2" s="245"/>
      <c r="FJ2" s="245"/>
      <c r="FK2" s="245"/>
      <c r="FL2" s="245"/>
      <c r="FM2" s="245"/>
      <c r="FN2" s="245"/>
      <c r="FO2" s="245"/>
      <c r="FP2" s="245"/>
      <c r="FQ2" s="245"/>
      <c r="FR2" s="245"/>
      <c r="FS2" s="245"/>
      <c r="FT2" s="245"/>
      <c r="FU2" s="245"/>
      <c r="FV2" s="245"/>
    </row>
    <row r="3" spans="1:178">
      <c r="A3" s="1025"/>
      <c r="B3" s="639" t="s">
        <v>305</v>
      </c>
      <c r="C3" s="640" t="s">
        <v>143</v>
      </c>
      <c r="D3" s="640"/>
      <c r="E3" s="245" t="s">
        <v>351</v>
      </c>
      <c r="F3" s="641" t="s">
        <v>0</v>
      </c>
      <c r="G3" s="641">
        <v>40150</v>
      </c>
      <c r="H3" s="641">
        <v>39300</v>
      </c>
      <c r="I3" s="641">
        <v>34500</v>
      </c>
      <c r="J3" s="641">
        <v>33240</v>
      </c>
      <c r="K3" s="641">
        <v>32750</v>
      </c>
      <c r="L3" s="641">
        <v>33100</v>
      </c>
      <c r="M3" s="641">
        <v>32650</v>
      </c>
      <c r="N3" s="641">
        <v>32300</v>
      </c>
      <c r="O3" s="641">
        <v>30100</v>
      </c>
      <c r="P3" s="641">
        <v>29600</v>
      </c>
      <c r="Q3" s="641">
        <v>29300</v>
      </c>
      <c r="R3" s="641">
        <v>28200</v>
      </c>
      <c r="S3" s="642">
        <v>29130</v>
      </c>
      <c r="T3" s="642">
        <v>27980</v>
      </c>
      <c r="U3" s="642">
        <v>28450</v>
      </c>
      <c r="V3" s="642">
        <v>31940</v>
      </c>
      <c r="W3" s="642">
        <v>32360</v>
      </c>
      <c r="X3" s="642">
        <v>27300</v>
      </c>
      <c r="Y3" s="642">
        <v>23430</v>
      </c>
      <c r="Z3" s="642">
        <v>24600</v>
      </c>
      <c r="AA3" s="642">
        <v>24100</v>
      </c>
      <c r="AB3" s="642">
        <v>24900</v>
      </c>
      <c r="AC3" s="642">
        <v>23180</v>
      </c>
      <c r="AD3" s="642">
        <v>22750</v>
      </c>
      <c r="AE3" s="642">
        <v>21350</v>
      </c>
      <c r="AF3" s="642">
        <v>24020</v>
      </c>
      <c r="AG3" s="642">
        <v>27070</v>
      </c>
      <c r="AH3" s="642">
        <v>28500</v>
      </c>
      <c r="AI3" s="642">
        <v>30640</v>
      </c>
      <c r="AJ3" s="642">
        <v>33490</v>
      </c>
      <c r="AK3" s="642">
        <v>34890</v>
      </c>
      <c r="AL3" s="642">
        <v>32270</v>
      </c>
      <c r="AM3" s="642">
        <v>29650</v>
      </c>
      <c r="AN3" s="642">
        <v>28360</v>
      </c>
      <c r="AO3" s="642">
        <v>25780</v>
      </c>
      <c r="AP3" s="642">
        <v>28790</v>
      </c>
      <c r="AQ3" s="642">
        <v>37740</v>
      </c>
      <c r="AR3" s="642">
        <v>38910</v>
      </c>
      <c r="AS3" s="642">
        <v>39200</v>
      </c>
      <c r="AT3" s="643">
        <v>39267.739761524499</v>
      </c>
      <c r="AU3" s="642">
        <v>35320.99284552411</v>
      </c>
      <c r="AV3" s="642">
        <v>32642.643561859699</v>
      </c>
      <c r="AW3" s="642">
        <v>32591.713857151481</v>
      </c>
      <c r="AX3" s="642">
        <v>35322.25032773053</v>
      </c>
      <c r="AY3" s="642">
        <v>39703.969071957552</v>
      </c>
      <c r="AZ3" s="642">
        <v>39873.279388030664</v>
      </c>
      <c r="BA3" s="642">
        <v>42186.838343884381</v>
      </c>
      <c r="BB3" s="642">
        <v>45353.692547267237</v>
      </c>
      <c r="BC3" s="642">
        <v>50421.563709397698</v>
      </c>
      <c r="BD3" s="642">
        <v>40583.378652357023</v>
      </c>
      <c r="BE3" s="642">
        <v>32948.17063043618</v>
      </c>
      <c r="BF3" s="642">
        <v>31831.243798285665</v>
      </c>
      <c r="BG3" s="642">
        <v>32775.625890130817</v>
      </c>
      <c r="BH3" s="642">
        <v>35603.026406517805</v>
      </c>
      <c r="BI3" s="642">
        <v>37413.346401247443</v>
      </c>
      <c r="BJ3" s="642">
        <v>38313.43145419551</v>
      </c>
      <c r="BK3" s="642">
        <v>31229.255203616198</v>
      </c>
      <c r="BL3" s="642">
        <v>26987.793742556612</v>
      </c>
      <c r="BM3" s="642">
        <v>27502.94958707604</v>
      </c>
      <c r="BN3" s="642">
        <v>26129.656129075174</v>
      </c>
      <c r="BO3" s="642">
        <v>31204.144072500429</v>
      </c>
      <c r="BP3" s="642">
        <v>32130.775456387943</v>
      </c>
      <c r="BQ3" s="642">
        <v>32763.935287141259</v>
      </c>
      <c r="BR3" s="642">
        <v>42146.917092812088</v>
      </c>
      <c r="BS3" s="642">
        <v>37776.741118253449</v>
      </c>
      <c r="BT3" s="642">
        <v>33392.157412302018</v>
      </c>
      <c r="BU3" s="642">
        <v>18333.270191784217</v>
      </c>
      <c r="BV3" s="642">
        <v>26907.499996889728</v>
      </c>
      <c r="BW3" s="642">
        <v>27733.582571128205</v>
      </c>
      <c r="BX3" s="642">
        <v>28238.348704213</v>
      </c>
      <c r="BY3" s="642">
        <v>28510.385603307008</v>
      </c>
      <c r="BZ3" s="642">
        <v>28060.277302456198</v>
      </c>
      <c r="CA3" s="642">
        <v>28820.536895295158</v>
      </c>
      <c r="CB3" s="642">
        <v>33404.388819080297</v>
      </c>
      <c r="CC3" s="642">
        <v>34644.168688458158</v>
      </c>
      <c r="CD3" s="642">
        <v>42078.873462612726</v>
      </c>
      <c r="CE3" s="642">
        <v>46073.542822435593</v>
      </c>
      <c r="CF3" s="642">
        <v>47621.606524213996</v>
      </c>
      <c r="CG3" s="642">
        <v>43640.112363280605</v>
      </c>
      <c r="CH3" s="642">
        <v>37985.33224426135</v>
      </c>
      <c r="CI3" s="642">
        <v>40810.0621081149</v>
      </c>
      <c r="CJ3" s="642">
        <v>48277.341437526047</v>
      </c>
      <c r="CK3" s="642">
        <v>51157.210854820602</v>
      </c>
      <c r="CL3" s="641">
        <v>51107.125769928265</v>
      </c>
      <c r="CM3" s="642">
        <f t="shared" si="0"/>
        <v>33366.558310821732</v>
      </c>
      <c r="CN3" s="245"/>
      <c r="CO3" s="638" t="s">
        <v>165</v>
      </c>
      <c r="CP3" s="638" t="s">
        <v>166</v>
      </c>
      <c r="CQ3" s="638" t="s">
        <v>167</v>
      </c>
      <c r="CR3" s="638" t="s">
        <v>1</v>
      </c>
      <c r="CS3" s="245"/>
      <c r="CT3" s="245"/>
      <c r="CU3" s="245"/>
      <c r="CV3" s="245"/>
      <c r="CW3" s="245"/>
      <c r="DB3" s="644"/>
      <c r="DC3" s="644"/>
      <c r="DD3" s="644"/>
      <c r="DE3" s="644"/>
      <c r="DF3" s="644"/>
      <c r="DG3" s="644"/>
      <c r="DH3" s="644"/>
      <c r="DI3" s="644"/>
      <c r="DJ3" s="644"/>
      <c r="DK3" s="644"/>
      <c r="DL3" s="644"/>
      <c r="DM3" s="644"/>
      <c r="DN3" s="644"/>
      <c r="DO3" s="644"/>
      <c r="DP3" s="644"/>
      <c r="DQ3" s="644"/>
      <c r="DR3" s="644"/>
      <c r="DS3" s="644"/>
      <c r="DT3" s="644"/>
      <c r="DU3" s="644"/>
      <c r="DV3" s="644"/>
      <c r="DW3" s="644"/>
      <c r="DX3" s="644"/>
      <c r="DY3" s="644"/>
      <c r="DZ3" s="644"/>
      <c r="EA3" s="644"/>
      <c r="EB3" s="644"/>
      <c r="EC3" s="245"/>
      <c r="ED3" s="245"/>
      <c r="EE3" s="245"/>
      <c r="EF3" s="245"/>
      <c r="EG3" s="245"/>
      <c r="EH3" s="245"/>
      <c r="EI3" s="245"/>
      <c r="EJ3" s="245"/>
      <c r="EK3" s="245"/>
      <c r="EL3" s="245"/>
      <c r="EM3" s="245"/>
      <c r="EN3" s="245"/>
      <c r="EO3" s="245"/>
      <c r="EP3" s="245"/>
      <c r="EQ3" s="245"/>
      <c r="ER3" s="245"/>
      <c r="ES3" s="245"/>
      <c r="ET3" s="245"/>
      <c r="EU3" s="245"/>
      <c r="EV3" s="245"/>
      <c r="EW3" s="245"/>
      <c r="EX3" s="245"/>
      <c r="EY3" s="245"/>
      <c r="EZ3" s="245"/>
      <c r="FA3" s="245"/>
      <c r="FB3" s="245"/>
      <c r="FC3" s="245"/>
      <c r="FD3" s="245"/>
      <c r="FE3" s="245"/>
      <c r="FF3" s="245"/>
      <c r="FG3" s="245"/>
      <c r="FH3" s="245"/>
      <c r="FI3" s="245"/>
      <c r="FJ3" s="245"/>
      <c r="FK3" s="245"/>
      <c r="FL3" s="245"/>
      <c r="FM3" s="245"/>
      <c r="FN3" s="245"/>
      <c r="FO3" s="245"/>
      <c r="FP3" s="245"/>
      <c r="FQ3" s="245"/>
      <c r="FR3" s="245"/>
      <c r="FS3" s="245"/>
      <c r="FT3" s="245"/>
      <c r="FU3" s="245"/>
      <c r="FV3" s="245"/>
    </row>
    <row r="4" spans="1:178">
      <c r="A4" s="1025"/>
      <c r="B4" s="639" t="s">
        <v>305</v>
      </c>
      <c r="C4" s="640" t="s">
        <v>143</v>
      </c>
      <c r="D4" s="640"/>
      <c r="E4" s="245" t="s">
        <v>351</v>
      </c>
      <c r="F4" s="641" t="s">
        <v>306</v>
      </c>
      <c r="G4" s="641">
        <v>36200</v>
      </c>
      <c r="H4" s="641">
        <v>34500</v>
      </c>
      <c r="I4" s="641">
        <v>31500</v>
      </c>
      <c r="J4" s="641">
        <v>30200</v>
      </c>
      <c r="K4" s="641">
        <v>29900</v>
      </c>
      <c r="L4" s="641">
        <v>30600</v>
      </c>
      <c r="M4" s="641">
        <v>29500</v>
      </c>
      <c r="N4" s="641">
        <v>29100</v>
      </c>
      <c r="O4" s="641">
        <v>28900</v>
      </c>
      <c r="P4" s="641">
        <v>28700</v>
      </c>
      <c r="Q4" s="641">
        <v>28520</v>
      </c>
      <c r="R4" s="641">
        <v>27450</v>
      </c>
      <c r="S4" s="642">
        <v>28747</v>
      </c>
      <c r="T4" s="642">
        <v>26363</v>
      </c>
      <c r="U4" s="642">
        <v>28314</v>
      </c>
      <c r="V4" s="642">
        <v>30904</v>
      </c>
      <c r="W4" s="642">
        <v>32179</v>
      </c>
      <c r="X4" s="642">
        <v>25459</v>
      </c>
      <c r="Y4" s="642">
        <v>22444</v>
      </c>
      <c r="Z4" s="642">
        <v>22701</v>
      </c>
      <c r="AA4" s="642">
        <v>23254</v>
      </c>
      <c r="AB4" s="642">
        <v>24690</v>
      </c>
      <c r="AC4" s="642">
        <v>21943</v>
      </c>
      <c r="AD4" s="642">
        <v>21072</v>
      </c>
      <c r="AE4" s="642">
        <v>20684</v>
      </c>
      <c r="AF4" s="642">
        <v>22360</v>
      </c>
      <c r="AG4" s="642">
        <v>26129</v>
      </c>
      <c r="AH4" s="642">
        <v>28230</v>
      </c>
      <c r="AI4" s="642">
        <v>29816</v>
      </c>
      <c r="AJ4" s="642">
        <v>32258</v>
      </c>
      <c r="AK4" s="642">
        <v>33673</v>
      </c>
      <c r="AL4" s="642">
        <v>31199</v>
      </c>
      <c r="AM4" s="642">
        <v>28636</v>
      </c>
      <c r="AN4" s="642">
        <v>28048</v>
      </c>
      <c r="AO4" s="642">
        <v>25686</v>
      </c>
      <c r="AP4" s="642">
        <v>28291</v>
      </c>
      <c r="AQ4" s="642">
        <v>36800</v>
      </c>
      <c r="AR4" s="642">
        <v>37009</v>
      </c>
      <c r="AS4" s="642">
        <v>39032</v>
      </c>
      <c r="AT4" s="643">
        <v>37934.865946679616</v>
      </c>
      <c r="AU4" s="642">
        <v>33977.640442957862</v>
      </c>
      <c r="AV4" s="642">
        <v>31621.932879798373</v>
      </c>
      <c r="AW4" s="642">
        <v>32245.619069523007</v>
      </c>
      <c r="AX4" s="642">
        <v>35684.70245863789</v>
      </c>
      <c r="AY4" s="642">
        <v>39729.847125147098</v>
      </c>
      <c r="AZ4" s="642">
        <v>40952.16644234657</v>
      </c>
      <c r="BA4" s="642">
        <v>43265.008516764698</v>
      </c>
      <c r="BB4" s="642">
        <v>47988.175639430039</v>
      </c>
      <c r="BC4" s="642">
        <v>50433.177687914897</v>
      </c>
      <c r="BD4" s="642">
        <v>39526.941750297483</v>
      </c>
      <c r="BE4" s="642">
        <v>30706.727022092222</v>
      </c>
      <c r="BF4" s="642">
        <v>31116.496307792124</v>
      </c>
      <c r="BG4" s="642">
        <v>35009.966798561858</v>
      </c>
      <c r="BH4" s="642">
        <v>37788.034281404027</v>
      </c>
      <c r="BI4" s="642">
        <v>38867.056236388496</v>
      </c>
      <c r="BJ4" s="642">
        <v>38678.266268318395</v>
      </c>
      <c r="BK4" s="642">
        <v>30138.909034848981</v>
      </c>
      <c r="BL4" s="642">
        <v>25548.609383721534</v>
      </c>
      <c r="BM4" s="642">
        <v>26760.845915432019</v>
      </c>
      <c r="BN4" s="642">
        <v>26872.996097798805</v>
      </c>
      <c r="BO4" s="642">
        <v>32318.693176917925</v>
      </c>
      <c r="BP4" s="642">
        <v>33253.389942674119</v>
      </c>
      <c r="BQ4" s="642">
        <v>33880.879188109247</v>
      </c>
      <c r="BR4" s="642">
        <v>44015.264630194491</v>
      </c>
      <c r="BS4" s="642">
        <v>40776.774414982094</v>
      </c>
      <c r="BT4" s="642">
        <v>37265.269327664537</v>
      </c>
      <c r="BU4" s="642">
        <v>19125.668604651164</v>
      </c>
      <c r="BV4" s="642">
        <v>26903.941500000001</v>
      </c>
      <c r="BW4" s="642">
        <v>26159.661614028053</v>
      </c>
      <c r="BX4" s="642">
        <v>26674.737698603414</v>
      </c>
      <c r="BY4" s="642">
        <v>26951.072804257299</v>
      </c>
      <c r="BZ4" s="642">
        <v>27292.749632570878</v>
      </c>
      <c r="CA4" s="642">
        <v>29207.059319259082</v>
      </c>
      <c r="CB4" s="642">
        <v>34185.03825123742</v>
      </c>
      <c r="CC4" s="642">
        <v>35409.408776058146</v>
      </c>
      <c r="CD4" s="642">
        <v>40548.590675430503</v>
      </c>
      <c r="CE4" s="642">
        <v>44551.491526971819</v>
      </c>
      <c r="CF4" s="642">
        <v>45328.551547510528</v>
      </c>
      <c r="CG4" s="642">
        <v>41304.84915769448</v>
      </c>
      <c r="CH4" s="642">
        <v>36449.953636561011</v>
      </c>
      <c r="CI4" s="642">
        <v>40423.343654069329</v>
      </c>
      <c r="CJ4" s="642">
        <v>48277.23010084885</v>
      </c>
      <c r="CK4" s="642">
        <v>50779.51102849115</v>
      </c>
      <c r="CL4" s="641">
        <v>51112.515377978409</v>
      </c>
      <c r="CM4" s="642">
        <f t="shared" si="0"/>
        <v>32714.697986816904</v>
      </c>
      <c r="CN4" s="644" t="s">
        <v>168</v>
      </c>
      <c r="CO4" s="645">
        <f>'[8]Cracker Yields'!H15</f>
        <v>0.98795180722891562</v>
      </c>
      <c r="CP4" s="645">
        <f>'[8]Cracker Yields'!I15</f>
        <v>0.65714285714285725</v>
      </c>
      <c r="CQ4" s="645">
        <f>'[8]Cracker Yields'!J15</f>
        <v>0.57894736842105254</v>
      </c>
      <c r="CR4" s="645">
        <f>'[8]Cracker Yields'!K15</f>
        <v>0.57894736842105254</v>
      </c>
      <c r="CS4" s="644"/>
      <c r="CT4" s="644"/>
      <c r="CU4" s="644"/>
      <c r="CV4" s="644"/>
      <c r="CW4" s="644"/>
      <c r="DB4" s="644"/>
      <c r="DC4" s="644"/>
      <c r="DD4" s="644"/>
      <c r="DE4" s="644"/>
      <c r="DF4" s="644"/>
      <c r="DG4" s="644"/>
      <c r="DH4" s="644"/>
      <c r="DI4" s="644"/>
      <c r="DJ4" s="644"/>
      <c r="DK4" s="644"/>
      <c r="DL4" s="644"/>
      <c r="DM4" s="644"/>
      <c r="DN4" s="644"/>
      <c r="DO4" s="644"/>
      <c r="DP4" s="644"/>
      <c r="DQ4" s="644"/>
      <c r="DR4" s="644"/>
      <c r="DS4" s="644"/>
      <c r="DT4" s="644"/>
      <c r="DU4" s="644"/>
      <c r="DV4" s="644"/>
      <c r="DW4" s="644"/>
      <c r="DX4" s="644"/>
      <c r="DY4" s="644"/>
      <c r="DZ4" s="644"/>
      <c r="EA4" s="644"/>
      <c r="EB4" s="644"/>
      <c r="EC4" s="245"/>
      <c r="ED4" s="245"/>
      <c r="EE4" s="245"/>
      <c r="EF4" s="245"/>
      <c r="EG4" s="245"/>
      <c r="EH4" s="245"/>
      <c r="EI4" s="245"/>
      <c r="EJ4" s="245"/>
      <c r="EK4" s="245"/>
      <c r="EL4" s="245"/>
      <c r="EM4" s="245"/>
      <c r="EN4" s="245"/>
      <c r="EO4" s="245"/>
      <c r="EP4" s="245"/>
      <c r="EQ4" s="245"/>
      <c r="ER4" s="245"/>
      <c r="ES4" s="245"/>
      <c r="ET4" s="245"/>
      <c r="EU4" s="245"/>
      <c r="EV4" s="245"/>
      <c r="EW4" s="245"/>
      <c r="EX4" s="245"/>
      <c r="EY4" s="245"/>
      <c r="EZ4" s="245"/>
      <c r="FA4" s="245"/>
      <c r="FB4" s="245"/>
      <c r="FC4" s="245"/>
      <c r="FD4" s="245"/>
      <c r="FE4" s="245"/>
      <c r="FF4" s="245"/>
      <c r="FG4" s="245"/>
      <c r="FH4" s="245"/>
      <c r="FI4" s="245"/>
      <c r="FJ4" s="245"/>
      <c r="FK4" s="245"/>
      <c r="FL4" s="245"/>
      <c r="FM4" s="245"/>
      <c r="FN4" s="245"/>
      <c r="FO4" s="245"/>
      <c r="FP4" s="245"/>
      <c r="FQ4" s="245"/>
      <c r="FR4" s="245"/>
      <c r="FS4" s="245"/>
      <c r="FT4" s="245"/>
      <c r="FU4" s="245"/>
      <c r="FV4" s="245"/>
    </row>
    <row r="5" spans="1:178">
      <c r="A5" s="1025"/>
      <c r="B5" s="639" t="s">
        <v>305</v>
      </c>
      <c r="C5" s="640" t="s">
        <v>143</v>
      </c>
      <c r="D5" s="640"/>
      <c r="E5" s="245" t="s">
        <v>351</v>
      </c>
      <c r="F5" s="641" t="s">
        <v>1</v>
      </c>
      <c r="G5" s="641">
        <v>36300</v>
      </c>
      <c r="H5" s="641">
        <v>36700</v>
      </c>
      <c r="I5" s="641">
        <v>34100</v>
      </c>
      <c r="J5" s="641">
        <v>33500</v>
      </c>
      <c r="K5" s="641">
        <v>33200</v>
      </c>
      <c r="L5" s="641">
        <v>34250</v>
      </c>
      <c r="M5" s="641">
        <v>33910</v>
      </c>
      <c r="N5" s="641">
        <v>33560</v>
      </c>
      <c r="O5" s="641">
        <v>33150</v>
      </c>
      <c r="P5" s="641">
        <v>32700</v>
      </c>
      <c r="Q5" s="641">
        <v>32500</v>
      </c>
      <c r="R5" s="641">
        <v>31300</v>
      </c>
      <c r="S5" s="642">
        <v>31650</v>
      </c>
      <c r="T5" s="642">
        <v>32800</v>
      </c>
      <c r="U5" s="642">
        <v>26340</v>
      </c>
      <c r="V5" s="642">
        <v>28480</v>
      </c>
      <c r="W5" s="642">
        <v>20020</v>
      </c>
      <c r="X5" s="642">
        <v>25660</v>
      </c>
      <c r="Y5" s="642">
        <v>28320</v>
      </c>
      <c r="Z5" s="642">
        <v>30450</v>
      </c>
      <c r="AA5" s="642">
        <v>29180</v>
      </c>
      <c r="AB5" s="642">
        <v>31960</v>
      </c>
      <c r="AC5" s="642">
        <v>26540</v>
      </c>
      <c r="AD5" s="642">
        <v>27640</v>
      </c>
      <c r="AE5" s="642">
        <v>23620</v>
      </c>
      <c r="AF5" s="642">
        <v>28960</v>
      </c>
      <c r="AG5" s="642">
        <v>29300</v>
      </c>
      <c r="AH5" s="642">
        <v>38070</v>
      </c>
      <c r="AI5" s="642">
        <v>37660</v>
      </c>
      <c r="AJ5" s="642">
        <v>35300</v>
      </c>
      <c r="AK5" s="642">
        <v>36270</v>
      </c>
      <c r="AL5" s="642">
        <v>31820</v>
      </c>
      <c r="AM5" s="642">
        <v>30160</v>
      </c>
      <c r="AN5" s="642">
        <v>30620</v>
      </c>
      <c r="AO5" s="642">
        <v>32030</v>
      </c>
      <c r="AP5" s="642">
        <v>26430</v>
      </c>
      <c r="AQ5" s="642">
        <v>40470</v>
      </c>
      <c r="AR5" s="642">
        <v>37160</v>
      </c>
      <c r="AS5" s="642">
        <v>35280</v>
      </c>
      <c r="AT5" s="643">
        <v>37468.917824886834</v>
      </c>
      <c r="AU5" s="642">
        <v>34979.7952647251</v>
      </c>
      <c r="AV5" s="642">
        <v>36995.226789598193</v>
      </c>
      <c r="AW5" s="642">
        <v>38411.434700802383</v>
      </c>
      <c r="AX5" s="642">
        <v>43077.696672195132</v>
      </c>
      <c r="AY5" s="642">
        <v>42339.113972658684</v>
      </c>
      <c r="AZ5" s="642">
        <v>44176.800315880733</v>
      </c>
      <c r="BA5" s="642">
        <v>45449.873001355765</v>
      </c>
      <c r="BB5" s="642">
        <v>48374.835244225556</v>
      </c>
      <c r="BC5" s="642">
        <v>49736.488507928807</v>
      </c>
      <c r="BD5" s="642">
        <v>36558.702058330193</v>
      </c>
      <c r="BE5" s="642">
        <v>31387.522192377604</v>
      </c>
      <c r="BF5" s="642">
        <v>31954.700264411553</v>
      </c>
      <c r="BG5" s="642">
        <v>35488.590056570771</v>
      </c>
      <c r="BH5" s="642">
        <v>37151.720463657031</v>
      </c>
      <c r="BI5" s="642">
        <v>40224.487971509581</v>
      </c>
      <c r="BJ5" s="642">
        <v>39776.808056372938</v>
      </c>
      <c r="BK5" s="642">
        <v>32806.091323106572</v>
      </c>
      <c r="BL5" s="642">
        <v>34852.034397102398</v>
      </c>
      <c r="BM5" s="642">
        <v>32743.412011815777</v>
      </c>
      <c r="BN5" s="642">
        <v>33941.49447086802</v>
      </c>
      <c r="BO5" s="642">
        <v>36161.070807658274</v>
      </c>
      <c r="BP5" s="642">
        <v>36208.29768815585</v>
      </c>
      <c r="BQ5" s="642">
        <v>39212.402929615775</v>
      </c>
      <c r="BR5" s="642">
        <v>38005.50999905145</v>
      </c>
      <c r="BS5" s="642">
        <v>33948.919195272174</v>
      </c>
      <c r="BT5" s="642">
        <v>21830.230520384102</v>
      </c>
      <c r="BU5" s="642">
        <v>41618.000025444984</v>
      </c>
      <c r="BV5" s="642">
        <v>36293.110003071568</v>
      </c>
      <c r="BW5" s="642">
        <v>40230.560009202418</v>
      </c>
      <c r="BX5" s="642">
        <v>28984.506728422391</v>
      </c>
      <c r="BY5" s="642">
        <v>29296.224637839514</v>
      </c>
      <c r="BZ5" s="642">
        <v>28071.268352741423</v>
      </c>
      <c r="CA5" s="642">
        <v>23219.340304109319</v>
      </c>
      <c r="CB5" s="642">
        <v>27680.138169883663</v>
      </c>
      <c r="CC5" s="642">
        <v>31896.526510107997</v>
      </c>
      <c r="CD5" s="642">
        <v>36352.617012931434</v>
      </c>
      <c r="CE5" s="642">
        <v>40134.773482798308</v>
      </c>
      <c r="CF5" s="642">
        <v>42943.647213612938</v>
      </c>
      <c r="CG5" s="642">
        <v>41061.486307385807</v>
      </c>
      <c r="CH5" s="642">
        <v>43266.069260132143</v>
      </c>
      <c r="CI5" s="642">
        <v>46764.427300723</v>
      </c>
      <c r="CJ5" s="642">
        <v>49848.163616800543</v>
      </c>
      <c r="CK5" s="642">
        <v>47958.871071535585</v>
      </c>
      <c r="CL5" s="641">
        <v>49198.016422217115</v>
      </c>
      <c r="CM5" s="642">
        <f t="shared" si="0"/>
        <v>34945.713370589001</v>
      </c>
      <c r="CN5" s="644" t="s">
        <v>169</v>
      </c>
      <c r="CO5" s="645">
        <f>'[8]Cracker Yields'!H16</f>
        <v>1.2048192771084376E-2</v>
      </c>
      <c r="CP5" s="645">
        <f>'[8]Cracker Yields'!I16</f>
        <v>0.34285714285714275</v>
      </c>
      <c r="CQ5" s="645">
        <f>'[8]Cracker Yields'!J16</f>
        <v>0.42105263157894746</v>
      </c>
      <c r="CR5" s="645">
        <f>'[8]Cracker Yields'!K16</f>
        <v>0.42105263157894746</v>
      </c>
      <c r="CS5" s="644"/>
      <c r="CT5" s="644"/>
      <c r="CU5" s="644"/>
      <c r="CV5" s="644"/>
      <c r="CW5" s="644"/>
      <c r="DB5" s="644"/>
      <c r="DC5" s="644"/>
      <c r="DD5" s="644"/>
      <c r="DE5" s="644"/>
      <c r="DF5" s="644"/>
      <c r="DG5" s="644"/>
      <c r="DH5" s="644"/>
      <c r="DI5" s="644"/>
      <c r="DJ5" s="644"/>
      <c r="DK5" s="644"/>
      <c r="DL5" s="644"/>
      <c r="DM5" s="644"/>
      <c r="DN5" s="644"/>
      <c r="DO5" s="644"/>
      <c r="DP5" s="644"/>
      <c r="DQ5" s="644"/>
      <c r="DR5" s="644"/>
      <c r="DS5" s="644"/>
      <c r="DT5" s="644"/>
      <c r="DU5" s="644"/>
      <c r="DV5" s="644"/>
      <c r="DW5" s="644"/>
      <c r="DX5" s="644"/>
      <c r="DY5" s="644"/>
      <c r="DZ5" s="644"/>
      <c r="EA5" s="644"/>
      <c r="EB5" s="644"/>
      <c r="EC5" s="646">
        <v>52.32</v>
      </c>
      <c r="ED5" s="644"/>
      <c r="EE5" s="644"/>
      <c r="EF5" s="644"/>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row>
    <row r="6" spans="1:178">
      <c r="A6" s="1026"/>
      <c r="B6" s="647" t="s">
        <v>307</v>
      </c>
      <c r="C6" s="648" t="s">
        <v>308</v>
      </c>
      <c r="D6" s="648"/>
      <c r="E6" s="649" t="s">
        <v>351</v>
      </c>
      <c r="F6" s="650" t="s">
        <v>309</v>
      </c>
      <c r="G6" s="650">
        <v>690</v>
      </c>
      <c r="H6" s="650">
        <v>680</v>
      </c>
      <c r="I6" s="650">
        <v>640</v>
      </c>
      <c r="J6" s="650">
        <v>620</v>
      </c>
      <c r="K6" s="650">
        <v>595</v>
      </c>
      <c r="L6" s="650">
        <v>614</v>
      </c>
      <c r="M6" s="650">
        <v>602</v>
      </c>
      <c r="N6" s="650">
        <v>591</v>
      </c>
      <c r="O6" s="650">
        <v>582</v>
      </c>
      <c r="P6" s="650">
        <v>564</v>
      </c>
      <c r="Q6" s="650">
        <v>577</v>
      </c>
      <c r="R6" s="650">
        <v>544</v>
      </c>
      <c r="S6" s="642">
        <v>549</v>
      </c>
      <c r="T6" s="651">
        <v>562</v>
      </c>
      <c r="U6" s="651">
        <v>575</v>
      </c>
      <c r="V6" s="642">
        <v>588</v>
      </c>
      <c r="W6" s="651">
        <v>600</v>
      </c>
      <c r="X6" s="651">
        <v>614</v>
      </c>
      <c r="Y6" s="651">
        <v>628</v>
      </c>
      <c r="Z6" s="651">
        <v>638</v>
      </c>
      <c r="AA6" s="651">
        <v>651</v>
      </c>
      <c r="AB6" s="651">
        <v>664</v>
      </c>
      <c r="AC6" s="651">
        <v>677</v>
      </c>
      <c r="AD6" s="642">
        <v>689</v>
      </c>
      <c r="AE6" s="651">
        <v>602</v>
      </c>
      <c r="AF6" s="651">
        <v>615</v>
      </c>
      <c r="AG6" s="651">
        <v>628</v>
      </c>
      <c r="AH6" s="642">
        <v>640</v>
      </c>
      <c r="AI6" s="651">
        <v>654</v>
      </c>
      <c r="AJ6" s="651">
        <v>644</v>
      </c>
      <c r="AK6" s="651">
        <v>679</v>
      </c>
      <c r="AL6" s="651">
        <v>691</v>
      </c>
      <c r="AM6" s="651">
        <v>704</v>
      </c>
      <c r="AN6" s="651">
        <v>717</v>
      </c>
      <c r="AO6" s="651">
        <v>629.54360858123698</v>
      </c>
      <c r="AP6" s="651">
        <v>642.28255936563301</v>
      </c>
      <c r="AQ6" s="651">
        <v>655.02151015003005</v>
      </c>
      <c r="AR6" s="651">
        <v>667.76046093442596</v>
      </c>
      <c r="AS6" s="651">
        <v>680.49941171882301</v>
      </c>
      <c r="AT6" s="651">
        <v>693.23836250321904</v>
      </c>
      <c r="AU6" s="651">
        <v>725</v>
      </c>
      <c r="AV6" s="651">
        <v>731</v>
      </c>
      <c r="AW6" s="651">
        <v>683.35192411641094</v>
      </c>
      <c r="AX6" s="651">
        <v>727.45879248730159</v>
      </c>
      <c r="AY6" s="651">
        <v>790.46535767833188</v>
      </c>
      <c r="AZ6" s="651">
        <v>835.82228336641663</v>
      </c>
      <c r="BA6" s="651">
        <v>855.64779771974872</v>
      </c>
      <c r="BB6" s="651">
        <v>831.01152604586082</v>
      </c>
      <c r="BC6" s="651">
        <v>894.32305357357711</v>
      </c>
      <c r="BD6" s="651">
        <v>848.00352710543211</v>
      </c>
      <c r="BE6" s="651">
        <v>762.53950609685091</v>
      </c>
      <c r="BF6" s="651">
        <v>747.97322905859232</v>
      </c>
      <c r="BG6" s="651">
        <v>816.24945468112071</v>
      </c>
      <c r="BH6" s="651">
        <v>713.84568622483982</v>
      </c>
      <c r="BI6" s="651">
        <v>547.77</v>
      </c>
      <c r="BJ6" s="651">
        <v>505.25</v>
      </c>
      <c r="BK6" s="651">
        <v>522.21</v>
      </c>
      <c r="BL6" s="651">
        <v>559.08000000000004</v>
      </c>
      <c r="BM6" s="651">
        <v>496.47</v>
      </c>
      <c r="BN6" s="651">
        <v>463.19</v>
      </c>
      <c r="BO6" s="651">
        <v>620.35</v>
      </c>
      <c r="BP6" s="651">
        <v>540.62</v>
      </c>
      <c r="BQ6" s="651">
        <v>605.28</v>
      </c>
      <c r="BR6" s="651">
        <v>485.79</v>
      </c>
      <c r="BS6" s="651">
        <v>478.65</v>
      </c>
      <c r="BT6" s="651">
        <v>313.06</v>
      </c>
      <c r="BU6" s="651">
        <v>546.95000000000005</v>
      </c>
      <c r="BV6" s="651">
        <v>498.46</v>
      </c>
      <c r="BW6" s="651">
        <v>285.66000000000003</v>
      </c>
      <c r="BX6" s="651">
        <v>264.85000000000002</v>
      </c>
      <c r="BY6" s="651">
        <v>334.58</v>
      </c>
      <c r="BZ6" s="651">
        <v>410.09</v>
      </c>
      <c r="CA6" s="651">
        <v>471.71</v>
      </c>
      <c r="CB6" s="651">
        <v>532.29999999999995</v>
      </c>
      <c r="CC6" s="651">
        <v>588.39</v>
      </c>
      <c r="CD6" s="651">
        <v>675.69</v>
      </c>
      <c r="CE6" s="651">
        <v>872.05</v>
      </c>
      <c r="CF6" s="651">
        <v>766.06</v>
      </c>
      <c r="CG6" s="651">
        <v>565.04999999999995</v>
      </c>
      <c r="CH6" s="651">
        <v>567.25</v>
      </c>
      <c r="CI6" s="651">
        <v>619.33000000000004</v>
      </c>
      <c r="CJ6" s="651">
        <v>708.17</v>
      </c>
      <c r="CK6" s="651">
        <v>868.98</v>
      </c>
      <c r="CL6" s="652">
        <v>938.53</v>
      </c>
      <c r="CM6" s="642">
        <f t="shared" si="0"/>
        <v>629.65307204056967</v>
      </c>
      <c r="CN6" s="245"/>
      <c r="CO6" s="245"/>
      <c r="CP6" s="245"/>
      <c r="CQ6" s="245"/>
      <c r="CR6" s="245"/>
      <c r="CS6" s="245"/>
      <c r="CT6" s="245"/>
      <c r="CU6" s="245"/>
      <c r="CV6" s="245"/>
      <c r="CW6" s="245"/>
      <c r="CX6" s="245"/>
      <c r="CY6" s="245"/>
      <c r="CZ6" s="245"/>
      <c r="DA6" s="245"/>
      <c r="DB6" s="245"/>
      <c r="DC6" s="245"/>
      <c r="DD6" s="245"/>
      <c r="DE6" s="245"/>
      <c r="DF6" s="245"/>
      <c r="DG6" s="245"/>
      <c r="DH6" s="245"/>
      <c r="DI6" s="245"/>
      <c r="DJ6" s="245"/>
      <c r="DK6" s="245"/>
      <c r="DL6" s="245"/>
      <c r="DM6" s="245"/>
      <c r="DN6" s="245"/>
      <c r="DO6" s="245"/>
      <c r="DP6" s="245"/>
      <c r="DQ6" s="245"/>
      <c r="DR6" s="245"/>
      <c r="DS6" s="245"/>
      <c r="DT6" s="245"/>
      <c r="DU6" s="245"/>
      <c r="DV6" s="245"/>
      <c r="DW6" s="245"/>
      <c r="DX6" s="245"/>
      <c r="DY6" s="245"/>
      <c r="DZ6" s="245"/>
      <c r="EA6" s="245"/>
      <c r="EB6" s="245"/>
      <c r="EC6" s="245"/>
      <c r="ED6" s="245"/>
      <c r="EE6" s="245"/>
      <c r="EF6" s="245"/>
      <c r="EG6" s="245"/>
      <c r="EH6" s="245"/>
      <c r="EI6" s="245"/>
      <c r="EJ6" s="245"/>
      <c r="EK6" s="245"/>
      <c r="EL6" s="245"/>
      <c r="EM6" s="245"/>
      <c r="EN6" s="245"/>
      <c r="EO6" s="245"/>
      <c r="EP6" s="245"/>
      <c r="EQ6" s="245"/>
      <c r="ER6" s="245"/>
      <c r="ES6" s="245"/>
      <c r="ET6" s="245"/>
      <c r="EU6" s="245"/>
      <c r="EV6" s="245"/>
      <c r="EW6" s="245"/>
      <c r="EX6" s="245"/>
      <c r="EY6" s="245"/>
      <c r="EZ6" s="245"/>
      <c r="FA6" s="245"/>
      <c r="FB6" s="245"/>
      <c r="FC6" s="245"/>
      <c r="FD6" s="245"/>
      <c r="FE6" s="245"/>
      <c r="FF6" s="245"/>
      <c r="FG6" s="245"/>
      <c r="FH6" s="245"/>
      <c r="FI6" s="245"/>
      <c r="FJ6" s="245"/>
      <c r="FK6" s="245"/>
      <c r="FL6" s="245"/>
      <c r="FM6" s="245"/>
      <c r="FN6" s="245"/>
      <c r="FO6" s="245"/>
      <c r="FP6" s="245"/>
      <c r="FQ6" s="245"/>
      <c r="FR6" s="245"/>
      <c r="FS6" s="245"/>
      <c r="FT6" s="245"/>
      <c r="FU6" s="245"/>
      <c r="FV6" s="245"/>
    </row>
    <row r="7" spans="1:178">
      <c r="A7" s="1032" t="s">
        <v>310</v>
      </c>
      <c r="B7" s="632" t="s">
        <v>307</v>
      </c>
      <c r="C7" s="633" t="s">
        <v>143</v>
      </c>
      <c r="D7" s="633"/>
      <c r="E7" s="653" t="s">
        <v>351</v>
      </c>
      <c r="F7" s="654" t="s">
        <v>138</v>
      </c>
      <c r="G7" s="655">
        <v>56500</v>
      </c>
      <c r="H7" s="655">
        <v>56300</v>
      </c>
      <c r="I7" s="655">
        <v>56100</v>
      </c>
      <c r="J7" s="655">
        <v>55900</v>
      </c>
      <c r="K7" s="655">
        <v>55800</v>
      </c>
      <c r="L7" s="655">
        <v>55600</v>
      </c>
      <c r="M7" s="655">
        <v>55200</v>
      </c>
      <c r="N7" s="655">
        <v>57300</v>
      </c>
      <c r="O7" s="655">
        <v>54100</v>
      </c>
      <c r="P7" s="654">
        <v>55200</v>
      </c>
      <c r="Q7" s="654">
        <v>52300</v>
      </c>
      <c r="R7" s="656">
        <v>45600</v>
      </c>
      <c r="S7" s="655">
        <v>47020</v>
      </c>
      <c r="T7" s="656">
        <v>45750</v>
      </c>
      <c r="U7" s="657">
        <v>46150</v>
      </c>
      <c r="V7" s="655">
        <v>45650</v>
      </c>
      <c r="W7" s="656">
        <v>36940</v>
      </c>
      <c r="X7" s="655">
        <v>36950</v>
      </c>
      <c r="Y7" s="658">
        <v>37390</v>
      </c>
      <c r="Z7" s="655">
        <v>37950</v>
      </c>
      <c r="AA7" s="655">
        <v>38680</v>
      </c>
      <c r="AB7" s="658">
        <v>39250</v>
      </c>
      <c r="AC7" s="657">
        <v>39610</v>
      </c>
      <c r="AD7" s="655">
        <v>39920</v>
      </c>
      <c r="AE7" s="658">
        <v>39990</v>
      </c>
      <c r="AF7" s="655">
        <v>40250</v>
      </c>
      <c r="AG7" s="657">
        <v>41270</v>
      </c>
      <c r="AH7" s="655">
        <v>42350</v>
      </c>
      <c r="AI7" s="656">
        <v>57680</v>
      </c>
      <c r="AJ7" s="655">
        <v>60070</v>
      </c>
      <c r="AK7" s="655">
        <v>58600</v>
      </c>
      <c r="AL7" s="655">
        <v>56250</v>
      </c>
      <c r="AM7" s="655">
        <v>54760</v>
      </c>
      <c r="AN7" s="655">
        <v>53400</v>
      </c>
      <c r="AO7" s="655">
        <v>52470</v>
      </c>
      <c r="AP7" s="655">
        <v>51630</v>
      </c>
      <c r="AQ7" s="655">
        <v>52140</v>
      </c>
      <c r="AR7" s="655">
        <v>52030</v>
      </c>
      <c r="AS7" s="655">
        <v>51990</v>
      </c>
      <c r="AT7" s="659">
        <v>57152</v>
      </c>
      <c r="AU7" s="655">
        <v>58526</v>
      </c>
      <c r="AV7" s="655">
        <v>58277</v>
      </c>
      <c r="AW7" s="655">
        <v>55909</v>
      </c>
      <c r="AX7" s="655">
        <v>55303</v>
      </c>
      <c r="AY7" s="655">
        <v>58424</v>
      </c>
      <c r="AZ7" s="655">
        <v>56706</v>
      </c>
      <c r="BA7" s="655">
        <v>57565</v>
      </c>
      <c r="BB7" s="655">
        <v>61481</v>
      </c>
      <c r="BC7" s="655">
        <v>61877</v>
      </c>
      <c r="BD7" s="655">
        <v>61367</v>
      </c>
      <c r="BE7" s="655">
        <v>49658</v>
      </c>
      <c r="BF7" s="655">
        <v>41296</v>
      </c>
      <c r="BG7" s="655">
        <v>39412</v>
      </c>
      <c r="BH7" s="655">
        <v>42670</v>
      </c>
      <c r="BI7" s="655">
        <v>42621</v>
      </c>
      <c r="BJ7" s="655">
        <v>43930</v>
      </c>
      <c r="BK7" s="655">
        <v>44300</v>
      </c>
      <c r="BL7" s="655">
        <v>44000</v>
      </c>
      <c r="BM7" s="655">
        <v>46900</v>
      </c>
      <c r="BN7" s="655">
        <v>48100</v>
      </c>
      <c r="BO7" s="655">
        <v>52100</v>
      </c>
      <c r="BP7" s="655">
        <v>48600</v>
      </c>
      <c r="BQ7" s="655">
        <v>47000</v>
      </c>
      <c r="BR7" s="655">
        <v>52400</v>
      </c>
      <c r="BS7" s="655">
        <v>52900</v>
      </c>
      <c r="BT7" s="655">
        <v>48400</v>
      </c>
      <c r="BU7" s="660">
        <v>37400</v>
      </c>
      <c r="BV7" s="660">
        <v>24900</v>
      </c>
      <c r="BW7" s="660">
        <v>30300</v>
      </c>
      <c r="BX7" s="660">
        <v>33900</v>
      </c>
      <c r="BY7" s="660">
        <v>33100</v>
      </c>
      <c r="BZ7" s="660">
        <v>34400</v>
      </c>
      <c r="CA7" s="660">
        <v>32600</v>
      </c>
      <c r="CB7" s="660">
        <v>32500</v>
      </c>
      <c r="CC7" s="660">
        <v>40800</v>
      </c>
      <c r="CD7" s="660">
        <v>47900</v>
      </c>
      <c r="CE7" s="660">
        <v>48900</v>
      </c>
      <c r="CF7" s="660">
        <v>57200</v>
      </c>
      <c r="CG7" s="660">
        <v>62200</v>
      </c>
      <c r="CH7" s="660">
        <v>70100</v>
      </c>
      <c r="CI7" s="660">
        <v>75100</v>
      </c>
      <c r="CJ7" s="660">
        <v>71430</v>
      </c>
      <c r="CK7" s="660">
        <v>78990</v>
      </c>
      <c r="CL7" s="661">
        <v>72940</v>
      </c>
      <c r="CM7" s="636">
        <f t="shared" si="0"/>
        <v>49804.452380952382</v>
      </c>
      <c r="CN7" s="245"/>
      <c r="CO7" s="245"/>
      <c r="CP7" s="245"/>
      <c r="CQ7" s="245"/>
      <c r="CR7" s="245"/>
      <c r="CS7" s="245"/>
      <c r="CT7" s="245"/>
      <c r="CU7" s="245"/>
      <c r="CV7" s="245"/>
      <c r="CW7" s="245"/>
      <c r="CX7" s="245"/>
      <c r="CY7" s="245"/>
      <c r="CZ7" s="245"/>
      <c r="DA7" s="245"/>
      <c r="DB7" s="245"/>
      <c r="DC7" s="245"/>
      <c r="DD7" s="245"/>
      <c r="DE7" s="245"/>
      <c r="DF7" s="245"/>
      <c r="DG7" s="245"/>
      <c r="DH7" s="245"/>
      <c r="DI7" s="245"/>
      <c r="DJ7" s="245"/>
      <c r="DK7" s="245"/>
      <c r="DL7" s="245"/>
      <c r="DM7" s="245"/>
      <c r="DN7" s="245"/>
      <c r="DO7" s="245"/>
      <c r="DP7" s="245"/>
      <c r="DQ7" s="245"/>
      <c r="DR7" s="245"/>
      <c r="DS7" s="245"/>
      <c r="DT7" s="245"/>
      <c r="DU7" s="245"/>
      <c r="DV7" s="245"/>
      <c r="DW7" s="245"/>
      <c r="DX7" s="245"/>
      <c r="DY7" s="245"/>
      <c r="DZ7" s="245"/>
      <c r="EA7" s="245"/>
      <c r="EB7" s="245"/>
      <c r="EC7" s="245"/>
      <c r="ED7" s="245"/>
      <c r="EE7" s="245"/>
      <c r="EF7" s="245"/>
      <c r="EG7" s="245"/>
      <c r="EH7" s="245"/>
      <c r="EI7" s="245"/>
      <c r="EJ7" s="245"/>
      <c r="EK7" s="245"/>
      <c r="EL7" s="245"/>
      <c r="EM7" s="245"/>
      <c r="EN7" s="245"/>
      <c r="EO7" s="245"/>
      <c r="EP7" s="245"/>
      <c r="EQ7" s="245"/>
      <c r="ER7" s="245"/>
      <c r="ES7" s="245"/>
      <c r="ET7" s="245"/>
      <c r="EU7" s="245"/>
      <c r="EV7" s="245"/>
      <c r="EW7" s="245"/>
      <c r="EX7" s="245"/>
      <c r="EY7" s="245"/>
      <c r="EZ7" s="245"/>
      <c r="FA7" s="245"/>
      <c r="FB7" s="245"/>
      <c r="FC7" s="245"/>
      <c r="FD7" s="245"/>
      <c r="FE7" s="245"/>
      <c r="FF7" s="245"/>
      <c r="FG7" s="245"/>
      <c r="FH7" s="245"/>
      <c r="FI7" s="245"/>
      <c r="FJ7" s="245"/>
      <c r="FK7" s="245"/>
      <c r="FL7" s="245"/>
      <c r="FM7" s="245"/>
      <c r="FN7" s="245"/>
      <c r="FO7" s="245"/>
      <c r="FP7" s="245"/>
      <c r="FQ7" s="245"/>
      <c r="FR7" s="245"/>
      <c r="FS7" s="245"/>
      <c r="FT7" s="245"/>
      <c r="FU7" s="245"/>
      <c r="FV7" s="245"/>
    </row>
    <row r="8" spans="1:178">
      <c r="A8" s="1033"/>
      <c r="B8" s="639" t="s">
        <v>307</v>
      </c>
      <c r="C8" s="640" t="s">
        <v>143</v>
      </c>
      <c r="D8" s="640"/>
      <c r="E8" s="662" t="s">
        <v>351</v>
      </c>
      <c r="F8" s="663" t="s">
        <v>407</v>
      </c>
      <c r="G8" s="658">
        <v>78900</v>
      </c>
      <c r="H8" s="658">
        <v>75500</v>
      </c>
      <c r="I8" s="658">
        <v>76300</v>
      </c>
      <c r="J8" s="658">
        <v>77300</v>
      </c>
      <c r="K8" s="658">
        <v>74500</v>
      </c>
      <c r="L8" s="658">
        <v>78800</v>
      </c>
      <c r="M8" s="658">
        <v>75500</v>
      </c>
      <c r="N8" s="658">
        <v>77200</v>
      </c>
      <c r="O8" s="658">
        <v>71900</v>
      </c>
      <c r="P8" s="663">
        <v>74600</v>
      </c>
      <c r="Q8" s="663">
        <v>72500</v>
      </c>
      <c r="R8" s="664">
        <v>70300</v>
      </c>
      <c r="S8" s="658">
        <v>69049</v>
      </c>
      <c r="T8" s="664">
        <v>68803</v>
      </c>
      <c r="U8" s="665">
        <v>60570</v>
      </c>
      <c r="V8" s="658">
        <v>69050</v>
      </c>
      <c r="W8" s="664">
        <v>64550</v>
      </c>
      <c r="X8" s="658">
        <v>64300</v>
      </c>
      <c r="Y8" s="658">
        <v>69051</v>
      </c>
      <c r="Z8" s="658">
        <v>64800</v>
      </c>
      <c r="AA8" s="658">
        <v>67700</v>
      </c>
      <c r="AB8" s="658">
        <v>69052</v>
      </c>
      <c r="AC8" s="665">
        <v>69405</v>
      </c>
      <c r="AD8" s="658">
        <v>63700</v>
      </c>
      <c r="AE8" s="658">
        <v>69053</v>
      </c>
      <c r="AF8" s="658">
        <v>62939</v>
      </c>
      <c r="AG8" s="665">
        <v>65350</v>
      </c>
      <c r="AH8" s="658">
        <v>69054</v>
      </c>
      <c r="AI8" s="664">
        <v>63700</v>
      </c>
      <c r="AJ8" s="658">
        <v>61750</v>
      </c>
      <c r="AK8" s="666">
        <v>69055</v>
      </c>
      <c r="AL8" s="658">
        <v>68800</v>
      </c>
      <c r="AM8" s="658">
        <v>63500</v>
      </c>
      <c r="AN8" s="666">
        <v>69056</v>
      </c>
      <c r="AO8" s="658">
        <v>64500</v>
      </c>
      <c r="AP8" s="658">
        <v>64580</v>
      </c>
      <c r="AQ8" s="666">
        <v>69057</v>
      </c>
      <c r="AR8" s="658">
        <v>62925</v>
      </c>
      <c r="AS8" s="658">
        <v>71158</v>
      </c>
      <c r="AT8" s="666">
        <v>69058</v>
      </c>
      <c r="AU8" s="658">
        <v>79391</v>
      </c>
      <c r="AV8" s="658">
        <v>87624</v>
      </c>
      <c r="AW8" s="658">
        <v>91678</v>
      </c>
      <c r="AX8" s="658">
        <v>90255</v>
      </c>
      <c r="AY8" s="658">
        <v>110428</v>
      </c>
      <c r="AZ8" s="658">
        <v>113142</v>
      </c>
      <c r="BA8" s="658">
        <v>109389</v>
      </c>
      <c r="BB8" s="658">
        <v>117818</v>
      </c>
      <c r="BC8" s="658">
        <v>104990</v>
      </c>
      <c r="BD8" s="658">
        <v>79612</v>
      </c>
      <c r="BE8" s="658">
        <v>76089</v>
      </c>
      <c r="BF8" s="658">
        <v>79660</v>
      </c>
      <c r="BG8" s="658">
        <v>80367</v>
      </c>
      <c r="BH8" s="658">
        <v>75404</v>
      </c>
      <c r="BI8" s="658">
        <v>71634</v>
      </c>
      <c r="BJ8" s="658">
        <v>63615</v>
      </c>
      <c r="BK8" s="658">
        <v>66900</v>
      </c>
      <c r="BL8" s="658">
        <v>74300</v>
      </c>
      <c r="BM8" s="658">
        <v>76800</v>
      </c>
      <c r="BN8" s="658">
        <v>85000</v>
      </c>
      <c r="BO8" s="658">
        <v>87600</v>
      </c>
      <c r="BP8" s="658">
        <v>81700</v>
      </c>
      <c r="BQ8" s="658">
        <v>62200</v>
      </c>
      <c r="BR8" s="658">
        <v>63400</v>
      </c>
      <c r="BS8" s="658">
        <v>65100</v>
      </c>
      <c r="BT8" s="658">
        <v>56000</v>
      </c>
      <c r="BU8" s="667">
        <v>50100</v>
      </c>
      <c r="BV8" s="667">
        <v>28400</v>
      </c>
      <c r="BW8" s="667">
        <v>21600</v>
      </c>
      <c r="BX8" s="667">
        <v>22700</v>
      </c>
      <c r="BY8" s="667">
        <v>28600</v>
      </c>
      <c r="BZ8" s="667">
        <v>40200</v>
      </c>
      <c r="CA8" s="667">
        <v>50700</v>
      </c>
      <c r="CB8" s="667">
        <v>66900</v>
      </c>
      <c r="CC8" s="667">
        <v>94800</v>
      </c>
      <c r="CD8" s="667">
        <v>86100</v>
      </c>
      <c r="CE8" s="667">
        <v>58900</v>
      </c>
      <c r="CF8" s="667">
        <v>57400</v>
      </c>
      <c r="CG8" s="667">
        <v>80900</v>
      </c>
      <c r="CH8" s="667">
        <v>72100</v>
      </c>
      <c r="CI8" s="667">
        <v>73600</v>
      </c>
      <c r="CJ8" s="667">
        <v>88040</v>
      </c>
      <c r="CK8" s="667">
        <v>107190</v>
      </c>
      <c r="CL8" s="668">
        <v>116560</v>
      </c>
      <c r="CM8" s="642">
        <f t="shared" si="0"/>
        <v>72163.702380952382</v>
      </c>
      <c r="CN8" s="245"/>
      <c r="CO8" s="245"/>
      <c r="CP8" s="245"/>
      <c r="CQ8" s="245"/>
      <c r="CR8" s="245"/>
      <c r="CS8" s="245"/>
      <c r="CT8" s="245"/>
      <c r="CU8" s="245"/>
      <c r="CV8" s="245"/>
      <c r="CW8" s="245"/>
      <c r="CX8" s="245"/>
      <c r="CY8" s="245"/>
      <c r="CZ8" s="245"/>
      <c r="DA8" s="245"/>
      <c r="DB8" s="245"/>
      <c r="DC8" s="245"/>
      <c r="DD8" s="245"/>
      <c r="DE8" s="245"/>
      <c r="DF8" s="245"/>
      <c r="DG8" s="245"/>
      <c r="DH8" s="245"/>
      <c r="DI8" s="245"/>
      <c r="DJ8" s="245"/>
      <c r="DK8" s="245"/>
      <c r="DL8" s="245"/>
      <c r="DM8" s="245"/>
      <c r="DN8" s="245"/>
      <c r="DO8" s="245"/>
      <c r="DP8" s="245"/>
      <c r="DQ8" s="245"/>
      <c r="DR8" s="245"/>
      <c r="DS8" s="245"/>
      <c r="DT8" s="245"/>
      <c r="DU8" s="245"/>
      <c r="DV8" s="245"/>
      <c r="DW8" s="245"/>
      <c r="DX8" s="245"/>
      <c r="DY8" s="245"/>
      <c r="DZ8" s="245"/>
      <c r="EA8" s="245"/>
      <c r="EB8" s="245"/>
      <c r="EC8" s="245"/>
      <c r="ED8" s="245"/>
      <c r="EE8" s="245"/>
      <c r="EF8" s="245"/>
      <c r="EG8" s="245"/>
      <c r="EH8" s="245"/>
      <c r="EI8" s="245"/>
      <c r="EJ8" s="245"/>
      <c r="EK8" s="245"/>
      <c r="EL8" s="245"/>
      <c r="EM8" s="245"/>
      <c r="EN8" s="245"/>
      <c r="EO8" s="245"/>
      <c r="EP8" s="245"/>
      <c r="EQ8" s="245"/>
      <c r="ER8" s="245"/>
      <c r="ES8" s="245"/>
      <c r="ET8" s="245"/>
      <c r="EU8" s="245"/>
      <c r="EV8" s="245"/>
      <c r="EW8" s="245"/>
      <c r="EX8" s="245"/>
      <c r="EY8" s="245"/>
      <c r="EZ8" s="245"/>
      <c r="FA8" s="245"/>
      <c r="FB8" s="245"/>
      <c r="FC8" s="245"/>
      <c r="FD8" s="245"/>
      <c r="FE8" s="245"/>
      <c r="FF8" s="245"/>
      <c r="FG8" s="245"/>
      <c r="FH8" s="245"/>
      <c r="FI8" s="245"/>
      <c r="FJ8" s="245"/>
      <c r="FK8" s="245"/>
      <c r="FL8" s="245"/>
      <c r="FM8" s="245"/>
      <c r="FN8" s="245"/>
      <c r="FO8" s="245"/>
      <c r="FP8" s="245"/>
      <c r="FQ8" s="245"/>
      <c r="FR8" s="245"/>
      <c r="FS8" s="245"/>
      <c r="FT8" s="245"/>
      <c r="FU8" s="245"/>
      <c r="FV8" s="245"/>
    </row>
    <row r="9" spans="1:178">
      <c r="A9" s="1033"/>
      <c r="B9" s="639" t="s">
        <v>307</v>
      </c>
      <c r="C9" s="640" t="s">
        <v>143</v>
      </c>
      <c r="D9" s="640"/>
      <c r="E9" s="662" t="s">
        <v>351</v>
      </c>
      <c r="F9" s="663" t="s">
        <v>137</v>
      </c>
      <c r="G9" s="658">
        <v>24398.880000000001</v>
      </c>
      <c r="H9" s="658">
        <v>25035.784242424201</v>
      </c>
      <c r="I9" s="658">
        <v>25672.688484848499</v>
      </c>
      <c r="J9" s="658">
        <v>26309.592727272699</v>
      </c>
      <c r="K9" s="658">
        <v>26946.496969697</v>
      </c>
      <c r="L9" s="658">
        <v>27583.4012121212</v>
      </c>
      <c r="M9" s="658">
        <v>28220.305454545502</v>
      </c>
      <c r="N9" s="658">
        <v>28857.209696969701</v>
      </c>
      <c r="O9" s="658">
        <v>29494.113939393901</v>
      </c>
      <c r="P9" s="664">
        <v>30131.018181818199</v>
      </c>
      <c r="Q9" s="658">
        <v>30767.922424242399</v>
      </c>
      <c r="R9" s="658">
        <v>31404.8266666667</v>
      </c>
      <c r="S9" s="658">
        <v>31722.6</v>
      </c>
      <c r="T9" s="664">
        <v>32547.5</v>
      </c>
      <c r="U9" s="665">
        <v>34500</v>
      </c>
      <c r="V9" s="658">
        <v>33372.400000000001</v>
      </c>
      <c r="W9" s="664">
        <v>34197.300000000003</v>
      </c>
      <c r="X9" s="658">
        <v>35022.199999999997</v>
      </c>
      <c r="Y9" s="658">
        <v>35847.1</v>
      </c>
      <c r="Z9" s="658">
        <v>37700</v>
      </c>
      <c r="AA9" s="658">
        <v>36672</v>
      </c>
      <c r="AB9" s="658">
        <v>37496.9</v>
      </c>
      <c r="AC9" s="665">
        <v>38321.800000000003</v>
      </c>
      <c r="AD9" s="658">
        <v>39146.699999999997</v>
      </c>
      <c r="AE9" s="658">
        <v>35300</v>
      </c>
      <c r="AF9" s="658">
        <v>39971.599999999999</v>
      </c>
      <c r="AG9" s="665">
        <v>40796.5</v>
      </c>
      <c r="AH9" s="658">
        <v>41621.4</v>
      </c>
      <c r="AI9" s="664">
        <v>42446.3</v>
      </c>
      <c r="AJ9" s="666">
        <v>38276</v>
      </c>
      <c r="AK9" s="658">
        <v>40271.199999999997</v>
      </c>
      <c r="AL9" s="658">
        <v>40096.1</v>
      </c>
      <c r="AM9" s="658">
        <v>41921</v>
      </c>
      <c r="AN9" s="658">
        <v>40745.9</v>
      </c>
      <c r="AO9" s="666">
        <v>40250</v>
      </c>
      <c r="AP9" s="658">
        <v>41570.800000000003</v>
      </c>
      <c r="AQ9" s="658">
        <v>39395.699999999997</v>
      </c>
      <c r="AR9" s="658">
        <v>38220.6</v>
      </c>
      <c r="AS9" s="658">
        <v>39045.5</v>
      </c>
      <c r="AT9" s="666">
        <v>40278</v>
      </c>
      <c r="AU9" s="658">
        <v>40825</v>
      </c>
      <c r="AV9" s="658">
        <v>39651</v>
      </c>
      <c r="AW9" s="658">
        <v>40745</v>
      </c>
      <c r="AX9" s="658">
        <v>43210</v>
      </c>
      <c r="AY9" s="658">
        <v>49220</v>
      </c>
      <c r="AZ9" s="658">
        <v>47166</v>
      </c>
      <c r="BA9" s="658">
        <v>48765</v>
      </c>
      <c r="BB9" s="658">
        <v>49461</v>
      </c>
      <c r="BC9" s="658">
        <v>53775</v>
      </c>
      <c r="BD9" s="658">
        <v>54370</v>
      </c>
      <c r="BE9" s="658">
        <v>41640</v>
      </c>
      <c r="BF9" s="658">
        <v>37117</v>
      </c>
      <c r="BG9" s="658">
        <v>37203</v>
      </c>
      <c r="BH9" s="658">
        <v>40633</v>
      </c>
      <c r="BI9" s="658">
        <v>41946</v>
      </c>
      <c r="BJ9" s="658">
        <v>44260</v>
      </c>
      <c r="BK9" s="658">
        <v>46500</v>
      </c>
      <c r="BL9" s="658">
        <v>40900</v>
      </c>
      <c r="BM9" s="658">
        <v>43100</v>
      </c>
      <c r="BN9" s="658">
        <v>41200</v>
      </c>
      <c r="BO9" s="658">
        <v>43200</v>
      </c>
      <c r="BP9" s="658">
        <v>43200</v>
      </c>
      <c r="BQ9" s="658">
        <v>45400</v>
      </c>
      <c r="BR9" s="658">
        <v>48300</v>
      </c>
      <c r="BS9" s="658">
        <v>47500</v>
      </c>
      <c r="BT9" s="658">
        <v>43200</v>
      </c>
      <c r="BU9" s="667">
        <v>30300</v>
      </c>
      <c r="BV9" s="667">
        <v>20000</v>
      </c>
      <c r="BW9" s="667">
        <v>25600</v>
      </c>
      <c r="BX9" s="667">
        <v>36800</v>
      </c>
      <c r="BY9" s="667">
        <v>39400</v>
      </c>
      <c r="BZ9" s="667">
        <v>39300</v>
      </c>
      <c r="CA9" s="667">
        <v>38800</v>
      </c>
      <c r="CB9" s="667">
        <v>38500</v>
      </c>
      <c r="CC9" s="667">
        <v>34300</v>
      </c>
      <c r="CD9" s="667">
        <v>37200</v>
      </c>
      <c r="CE9" s="667">
        <v>42600</v>
      </c>
      <c r="CF9" s="667">
        <v>46400</v>
      </c>
      <c r="CG9" s="667">
        <v>47800</v>
      </c>
      <c r="CH9" s="667">
        <v>47000</v>
      </c>
      <c r="CI9" s="667">
        <v>49100</v>
      </c>
      <c r="CJ9" s="667">
        <v>52210</v>
      </c>
      <c r="CK9" s="667">
        <v>56230</v>
      </c>
      <c r="CL9" s="668">
        <v>53120</v>
      </c>
      <c r="CM9" s="642">
        <f t="shared" si="0"/>
        <v>39151.45642857143</v>
      </c>
      <c r="CN9" s="245"/>
      <c r="CO9" s="245"/>
      <c r="CP9" s="245"/>
      <c r="CQ9" s="245"/>
      <c r="CR9" s="245"/>
      <c r="CS9" s="245"/>
      <c r="CT9" s="245"/>
      <c r="CU9" s="245"/>
      <c r="CV9" s="245"/>
      <c r="CW9" s="245"/>
      <c r="CX9" s="245"/>
      <c r="CY9" s="245"/>
      <c r="CZ9" s="245"/>
      <c r="DA9" s="245"/>
      <c r="DB9" s="245"/>
      <c r="DC9" s="245"/>
      <c r="DD9" s="245"/>
      <c r="DE9" s="245"/>
      <c r="DF9" s="245"/>
      <c r="DG9" s="245"/>
      <c r="DH9" s="245"/>
      <c r="DI9" s="245"/>
      <c r="DJ9" s="245"/>
      <c r="DK9" s="245"/>
      <c r="DL9" s="245"/>
      <c r="DM9" s="245"/>
      <c r="DN9" s="245"/>
      <c r="DO9" s="245"/>
      <c r="DP9" s="245"/>
      <c r="DQ9" s="245"/>
      <c r="DR9" s="245"/>
      <c r="DS9" s="245"/>
      <c r="DT9" s="245"/>
      <c r="DU9" s="245"/>
      <c r="DV9" s="245"/>
      <c r="DW9" s="245"/>
      <c r="DX9" s="245"/>
      <c r="DY9" s="245"/>
      <c r="DZ9" s="245"/>
      <c r="EA9" s="245"/>
      <c r="EB9" s="245"/>
      <c r="EC9" s="245"/>
      <c r="ED9" s="245"/>
      <c r="EE9" s="245"/>
      <c r="EF9" s="245"/>
      <c r="EG9" s="245"/>
      <c r="EH9" s="245"/>
      <c r="EI9" s="245"/>
      <c r="EJ9" s="245"/>
      <c r="EK9" s="245"/>
      <c r="EL9" s="245"/>
      <c r="EM9" s="245"/>
      <c r="EN9" s="245"/>
      <c r="EO9" s="245"/>
      <c r="EP9" s="245"/>
      <c r="EQ9" s="245"/>
      <c r="ER9" s="245"/>
      <c r="ES9" s="245"/>
      <c r="ET9" s="245"/>
      <c r="EU9" s="245"/>
      <c r="EV9" s="245"/>
      <c r="EW9" s="245"/>
      <c r="EX9" s="245"/>
      <c r="EY9" s="245"/>
      <c r="EZ9" s="245"/>
      <c r="FA9" s="245"/>
      <c r="FB9" s="245"/>
      <c r="FC9" s="245"/>
      <c r="FD9" s="245"/>
      <c r="FE9" s="245"/>
      <c r="FF9" s="245"/>
      <c r="FG9" s="245"/>
      <c r="FH9" s="245"/>
      <c r="FI9" s="245"/>
      <c r="FJ9" s="245"/>
      <c r="FK9" s="245"/>
      <c r="FL9" s="245"/>
      <c r="FM9" s="245"/>
      <c r="FN9" s="245"/>
      <c r="FO9" s="245"/>
      <c r="FP9" s="245"/>
      <c r="FQ9" s="245"/>
      <c r="FR9" s="245"/>
      <c r="FS9" s="245"/>
      <c r="FT9" s="245"/>
      <c r="FU9" s="245"/>
      <c r="FV9" s="245"/>
    </row>
    <row r="10" spans="1:178">
      <c r="A10" s="1033"/>
      <c r="B10" s="639" t="s">
        <v>307</v>
      </c>
      <c r="C10" s="640" t="s">
        <v>143</v>
      </c>
      <c r="D10" s="640"/>
      <c r="E10" s="662" t="s">
        <v>351</v>
      </c>
      <c r="F10" s="663" t="s">
        <v>136</v>
      </c>
      <c r="G10" s="658">
        <v>37759.000000000102</v>
      </c>
      <c r="H10" s="658">
        <v>36931.1292929294</v>
      </c>
      <c r="I10" s="658">
        <v>36103.258585858697</v>
      </c>
      <c r="J10" s="658">
        <v>35275.3878787879</v>
      </c>
      <c r="K10" s="658">
        <v>34447.517171717198</v>
      </c>
      <c r="L10" s="658">
        <v>33619.646464646503</v>
      </c>
      <c r="M10" s="658">
        <v>32791.775757575801</v>
      </c>
      <c r="N10" s="658">
        <v>31963.905050505098</v>
      </c>
      <c r="O10" s="658">
        <v>31136.034343434399</v>
      </c>
      <c r="P10" s="664">
        <v>30308.163636363701</v>
      </c>
      <c r="Q10" s="658">
        <v>29480.292929292998</v>
      </c>
      <c r="R10" s="658">
        <v>28652.422222222202</v>
      </c>
      <c r="S10" s="658">
        <v>31782.666666666701</v>
      </c>
      <c r="T10" s="664">
        <v>31356.666666666701</v>
      </c>
      <c r="U10" s="665">
        <v>22930</v>
      </c>
      <c r="V10" s="658">
        <v>22278</v>
      </c>
      <c r="W10" s="664">
        <v>20505</v>
      </c>
      <c r="X10" s="658">
        <v>21079</v>
      </c>
      <c r="Y10" s="658">
        <v>22653</v>
      </c>
      <c r="Z10" s="658">
        <v>22279</v>
      </c>
      <c r="AA10" s="658">
        <v>22327</v>
      </c>
      <c r="AB10" s="658">
        <v>23801</v>
      </c>
      <c r="AC10" s="665">
        <v>22740</v>
      </c>
      <c r="AD10" s="658">
        <v>22280</v>
      </c>
      <c r="AE10" s="658">
        <v>21799</v>
      </c>
      <c r="AF10" s="658">
        <v>21523</v>
      </c>
      <c r="AG10" s="665">
        <v>23055</v>
      </c>
      <c r="AH10" s="658">
        <v>22281</v>
      </c>
      <c r="AI10" s="664">
        <v>21450</v>
      </c>
      <c r="AJ10" s="658">
        <v>22640</v>
      </c>
      <c r="AK10" s="658">
        <v>25818.666666666701</v>
      </c>
      <c r="AL10" s="666">
        <v>22282</v>
      </c>
      <c r="AM10" s="658">
        <v>25392.666666666701</v>
      </c>
      <c r="AN10" s="658">
        <v>24966.666666666701</v>
      </c>
      <c r="AO10" s="658">
        <v>24540.666666666701</v>
      </c>
      <c r="AP10" s="666">
        <v>22283</v>
      </c>
      <c r="AQ10" s="658">
        <v>24114.666666666701</v>
      </c>
      <c r="AR10" s="658">
        <v>23688.666666666701</v>
      </c>
      <c r="AS10" s="658">
        <v>23262.666666666701</v>
      </c>
      <c r="AT10" s="666">
        <v>22284</v>
      </c>
      <c r="AU10" s="658">
        <v>23133</v>
      </c>
      <c r="AV10" s="658">
        <v>21818</v>
      </c>
      <c r="AW10" s="658">
        <v>22281</v>
      </c>
      <c r="AX10" s="658">
        <v>24177</v>
      </c>
      <c r="AY10" s="658">
        <v>28071</v>
      </c>
      <c r="AZ10" s="658">
        <v>28045</v>
      </c>
      <c r="BA10" s="658">
        <v>29524</v>
      </c>
      <c r="BB10" s="658">
        <v>28439</v>
      </c>
      <c r="BC10" s="658">
        <v>30668</v>
      </c>
      <c r="BD10" s="658">
        <v>33226</v>
      </c>
      <c r="BE10" s="658">
        <v>28437</v>
      </c>
      <c r="BF10" s="658">
        <v>23915</v>
      </c>
      <c r="BG10" s="658">
        <v>25268</v>
      </c>
      <c r="BH10" s="658">
        <v>28957</v>
      </c>
      <c r="BI10" s="658">
        <v>29150</v>
      </c>
      <c r="BJ10" s="658">
        <v>30044</v>
      </c>
      <c r="BK10" s="658">
        <v>28400</v>
      </c>
      <c r="BL10" s="658">
        <v>25400</v>
      </c>
      <c r="BM10" s="658">
        <v>26700</v>
      </c>
      <c r="BN10" s="658">
        <v>22400</v>
      </c>
      <c r="BO10" s="658">
        <v>24500</v>
      </c>
      <c r="BP10" s="658">
        <v>21200</v>
      </c>
      <c r="BQ10" s="658">
        <v>18600</v>
      </c>
      <c r="BR10" s="658">
        <v>21400</v>
      </c>
      <c r="BS10" s="658">
        <v>22400</v>
      </c>
      <c r="BT10" s="658">
        <v>23100</v>
      </c>
      <c r="BU10" s="667">
        <v>14400</v>
      </c>
      <c r="BV10" s="667">
        <v>10800</v>
      </c>
      <c r="BW10" s="667">
        <v>14100</v>
      </c>
      <c r="BX10" s="667">
        <v>18300</v>
      </c>
      <c r="BY10" s="667">
        <v>20100</v>
      </c>
      <c r="BZ10" s="667">
        <v>21300</v>
      </c>
      <c r="CA10" s="667">
        <v>20000</v>
      </c>
      <c r="CB10" s="667">
        <v>20600</v>
      </c>
      <c r="CC10" s="667">
        <v>21500</v>
      </c>
      <c r="CD10" s="667">
        <v>23400</v>
      </c>
      <c r="CE10" s="667">
        <v>24700</v>
      </c>
      <c r="CF10" s="667">
        <v>27200</v>
      </c>
      <c r="CG10" s="667">
        <v>28300</v>
      </c>
      <c r="CH10" s="667">
        <v>29000</v>
      </c>
      <c r="CI10" s="667">
        <v>29700</v>
      </c>
      <c r="CJ10" s="667">
        <v>31350</v>
      </c>
      <c r="CK10" s="667">
        <v>30470</v>
      </c>
      <c r="CL10" s="668">
        <v>31250</v>
      </c>
      <c r="CM10" s="642">
        <f t="shared" si="0"/>
        <v>25495.053968253982</v>
      </c>
      <c r="CN10" s="245"/>
      <c r="CO10" s="245"/>
      <c r="CP10" s="245"/>
      <c r="CQ10" s="245"/>
      <c r="CR10" s="245"/>
      <c r="CS10" s="245"/>
      <c r="CT10" s="245"/>
      <c r="CU10" s="245"/>
      <c r="CV10" s="245"/>
      <c r="CW10" s="245"/>
      <c r="CX10" s="245"/>
      <c r="CY10" s="245"/>
      <c r="CZ10" s="245"/>
      <c r="DA10" s="245"/>
      <c r="DB10" s="245"/>
      <c r="DC10" s="245"/>
      <c r="DD10" s="245"/>
      <c r="DE10" s="245"/>
      <c r="DF10" s="245"/>
      <c r="DG10" s="245"/>
      <c r="DH10" s="245"/>
      <c r="DI10" s="245"/>
      <c r="DJ10" s="245"/>
      <c r="DK10" s="245"/>
      <c r="DL10" s="245"/>
      <c r="DM10" s="245"/>
      <c r="DN10" s="245"/>
      <c r="DO10" s="245"/>
      <c r="DP10" s="245"/>
      <c r="DQ10" s="245"/>
      <c r="DR10" s="245"/>
      <c r="DS10" s="245"/>
      <c r="DT10" s="245"/>
      <c r="DU10" s="245"/>
      <c r="DV10" s="245"/>
      <c r="DW10" s="245"/>
      <c r="DX10" s="245"/>
      <c r="DY10" s="245"/>
      <c r="DZ10" s="245"/>
      <c r="EA10" s="245"/>
      <c r="EB10" s="245"/>
      <c r="EC10" s="245"/>
      <c r="ED10" s="245"/>
      <c r="EE10" s="245"/>
      <c r="EF10" s="245"/>
      <c r="EG10" s="245"/>
      <c r="EH10" s="245"/>
      <c r="EI10" s="245"/>
      <c r="EJ10" s="245"/>
      <c r="EK10" s="245"/>
      <c r="EL10" s="245"/>
      <c r="EM10" s="245"/>
      <c r="EN10" s="245"/>
      <c r="EO10" s="245"/>
      <c r="EP10" s="245"/>
      <c r="EQ10" s="245"/>
      <c r="ER10" s="245"/>
      <c r="ES10" s="245"/>
      <c r="ET10" s="245"/>
      <c r="EU10" s="245"/>
      <c r="EV10" s="245"/>
      <c r="EW10" s="245"/>
      <c r="EX10" s="245"/>
      <c r="EY10" s="245"/>
      <c r="EZ10" s="245"/>
      <c r="FA10" s="245"/>
      <c r="FB10" s="245"/>
      <c r="FC10" s="245"/>
      <c r="FD10" s="245"/>
      <c r="FE10" s="245"/>
      <c r="FF10" s="245"/>
      <c r="FG10" s="245"/>
      <c r="FH10" s="245"/>
      <c r="FI10" s="245"/>
      <c r="FJ10" s="245"/>
      <c r="FK10" s="245"/>
      <c r="FL10" s="245"/>
      <c r="FM10" s="245"/>
      <c r="FN10" s="245"/>
      <c r="FO10" s="245"/>
      <c r="FP10" s="245"/>
      <c r="FQ10" s="245"/>
      <c r="FR10" s="245"/>
      <c r="FS10" s="245"/>
      <c r="FT10" s="245"/>
      <c r="FU10" s="245"/>
      <c r="FV10" s="245"/>
    </row>
    <row r="11" spans="1:178">
      <c r="A11" s="1034"/>
      <c r="B11" s="647" t="s">
        <v>307</v>
      </c>
      <c r="C11" s="648" t="s">
        <v>143</v>
      </c>
      <c r="D11" s="648"/>
      <c r="E11" s="669" t="s">
        <v>351</v>
      </c>
      <c r="F11" s="670" t="s">
        <v>135</v>
      </c>
      <c r="G11" s="671">
        <v>32175.4666666667</v>
      </c>
      <c r="H11" s="671">
        <v>32270.216161616201</v>
      </c>
      <c r="I11" s="671">
        <v>32364.965656565699</v>
      </c>
      <c r="J11" s="671">
        <v>32459.7151515152</v>
      </c>
      <c r="K11" s="671">
        <v>32554.464646464701</v>
      </c>
      <c r="L11" s="671">
        <v>32649.214141414199</v>
      </c>
      <c r="M11" s="671">
        <v>32743.9636363637</v>
      </c>
      <c r="N11" s="671">
        <v>32838.713131313198</v>
      </c>
      <c r="O11" s="671">
        <v>32933.462626262699</v>
      </c>
      <c r="P11" s="664">
        <v>33028.212121212098</v>
      </c>
      <c r="Q11" s="671">
        <v>33122.9616161616</v>
      </c>
      <c r="R11" s="671">
        <v>33217.711111111101</v>
      </c>
      <c r="S11" s="671">
        <v>33015.666666666701</v>
      </c>
      <c r="T11" s="672">
        <v>33126.166666666701</v>
      </c>
      <c r="U11" s="673">
        <v>33236.666666666701</v>
      </c>
      <c r="V11" s="671">
        <v>35084</v>
      </c>
      <c r="W11" s="672">
        <v>33347.166666666701</v>
      </c>
      <c r="X11" s="671">
        <v>33457.666666666701</v>
      </c>
      <c r="Y11" s="671">
        <v>33568.166666666701</v>
      </c>
      <c r="Z11" s="658">
        <v>35085</v>
      </c>
      <c r="AA11" s="671">
        <v>33678.666666666701</v>
      </c>
      <c r="AB11" s="671">
        <v>33789.166666666701</v>
      </c>
      <c r="AC11" s="673">
        <v>33899.666666666701</v>
      </c>
      <c r="AD11" s="671">
        <v>35086</v>
      </c>
      <c r="AE11" s="658">
        <v>34010.166666666701</v>
      </c>
      <c r="AF11" s="671">
        <v>34120.666666666701</v>
      </c>
      <c r="AG11" s="673">
        <v>34231.166666666701</v>
      </c>
      <c r="AH11" s="671">
        <v>35087</v>
      </c>
      <c r="AI11" s="672">
        <v>34341.666666666701</v>
      </c>
      <c r="AJ11" s="671">
        <v>34452.166666666701</v>
      </c>
      <c r="AK11" s="671">
        <v>34562.666666666701</v>
      </c>
      <c r="AL11" s="674">
        <v>35088</v>
      </c>
      <c r="AM11" s="671">
        <v>34673.166666666701</v>
      </c>
      <c r="AN11" s="671">
        <v>34783.666666666701</v>
      </c>
      <c r="AO11" s="671">
        <v>34894.166666666701</v>
      </c>
      <c r="AP11" s="674">
        <v>35089</v>
      </c>
      <c r="AQ11" s="671">
        <v>35004.666666666701</v>
      </c>
      <c r="AR11" s="671">
        <v>35115.166666666701</v>
      </c>
      <c r="AS11" s="671">
        <v>35225.666666666701</v>
      </c>
      <c r="AT11" s="674">
        <v>35090</v>
      </c>
      <c r="AU11" s="671">
        <v>35648</v>
      </c>
      <c r="AV11" s="671">
        <v>34823</v>
      </c>
      <c r="AW11" s="671">
        <v>35869</v>
      </c>
      <c r="AX11" s="671">
        <v>38900</v>
      </c>
      <c r="AY11" s="671">
        <v>48637</v>
      </c>
      <c r="AZ11" s="671">
        <v>46484</v>
      </c>
      <c r="BA11" s="671">
        <v>48182</v>
      </c>
      <c r="BB11" s="671">
        <v>48880</v>
      </c>
      <c r="BC11" s="671">
        <v>53437</v>
      </c>
      <c r="BD11" s="671">
        <v>53976</v>
      </c>
      <c r="BE11" s="671">
        <v>40000</v>
      </c>
      <c r="BF11" s="671">
        <v>35076</v>
      </c>
      <c r="BG11" s="671">
        <v>35172</v>
      </c>
      <c r="BH11" s="671">
        <v>38937</v>
      </c>
      <c r="BI11" s="671">
        <v>40545</v>
      </c>
      <c r="BJ11" s="671">
        <v>43117</v>
      </c>
      <c r="BK11" s="671">
        <v>41200</v>
      </c>
      <c r="BL11" s="671">
        <v>35000</v>
      </c>
      <c r="BM11" s="671">
        <v>37500</v>
      </c>
      <c r="BN11" s="671">
        <v>35100</v>
      </c>
      <c r="BO11" s="671">
        <v>37300</v>
      </c>
      <c r="BP11" s="671">
        <v>37300</v>
      </c>
      <c r="BQ11" s="671">
        <v>39700</v>
      </c>
      <c r="BR11" s="671">
        <v>41700</v>
      </c>
      <c r="BS11" s="671">
        <v>40900</v>
      </c>
      <c r="BT11" s="671">
        <v>38000</v>
      </c>
      <c r="BU11" s="675">
        <v>25000</v>
      </c>
      <c r="BV11" s="675">
        <v>19100</v>
      </c>
      <c r="BW11" s="675">
        <v>25000</v>
      </c>
      <c r="BX11" s="675">
        <v>31800</v>
      </c>
      <c r="BY11" s="675">
        <v>33800</v>
      </c>
      <c r="BZ11" s="675">
        <v>35100</v>
      </c>
      <c r="CA11" s="675">
        <v>36000</v>
      </c>
      <c r="CB11" s="675">
        <v>35700</v>
      </c>
      <c r="CC11" s="675">
        <v>35700</v>
      </c>
      <c r="CD11" s="675">
        <v>39300</v>
      </c>
      <c r="CE11" s="675">
        <v>42500</v>
      </c>
      <c r="CF11" s="675">
        <v>46600</v>
      </c>
      <c r="CG11" s="675">
        <v>48300</v>
      </c>
      <c r="CH11" s="675">
        <v>44700</v>
      </c>
      <c r="CI11" s="675">
        <v>47100</v>
      </c>
      <c r="CJ11" s="675">
        <v>50610</v>
      </c>
      <c r="CK11" s="675">
        <v>50620</v>
      </c>
      <c r="CL11" s="676">
        <v>44350</v>
      </c>
      <c r="CM11" s="651">
        <f t="shared" si="0"/>
        <v>36990.060317460338</v>
      </c>
      <c r="CN11" s="245"/>
      <c r="CO11" s="245"/>
      <c r="CP11" s="245"/>
      <c r="CQ11" s="245"/>
      <c r="CR11" s="245"/>
      <c r="CS11" s="245"/>
      <c r="CT11" s="245"/>
      <c r="CU11" s="245"/>
      <c r="CV11" s="245"/>
      <c r="CW11" s="245"/>
      <c r="CX11" s="245"/>
      <c r="CY11" s="245"/>
      <c r="CZ11" s="245"/>
      <c r="DA11" s="245"/>
      <c r="DB11" s="245"/>
      <c r="DC11" s="245"/>
      <c r="DD11" s="245"/>
      <c r="DE11" s="245"/>
      <c r="DF11" s="245"/>
      <c r="DG11" s="245"/>
      <c r="DH11" s="245"/>
      <c r="DI11" s="245"/>
      <c r="DJ11" s="245"/>
      <c r="DK11" s="245"/>
      <c r="DL11" s="245"/>
      <c r="DM11" s="245"/>
      <c r="DN11" s="245"/>
      <c r="DO11" s="245"/>
      <c r="DP11" s="245"/>
      <c r="DQ11" s="245"/>
      <c r="DR11" s="245"/>
      <c r="DS11" s="245"/>
      <c r="DT11" s="245"/>
      <c r="DU11" s="245"/>
      <c r="DV11" s="245"/>
      <c r="DW11" s="245"/>
      <c r="DX11" s="245"/>
      <c r="DY11" s="245"/>
      <c r="DZ11" s="245"/>
      <c r="EA11" s="245"/>
      <c r="EB11" s="245"/>
      <c r="EC11" s="245"/>
      <c r="ED11" s="245"/>
      <c r="EE11" s="245"/>
      <c r="EF11" s="245"/>
      <c r="EG11" s="245"/>
      <c r="EH11" s="245"/>
      <c r="EI11" s="245"/>
      <c r="EJ11" s="245"/>
      <c r="EK11" s="245"/>
      <c r="EL11" s="245"/>
      <c r="EM11" s="245"/>
      <c r="EN11" s="245"/>
      <c r="EO11" s="245"/>
      <c r="EP11" s="245"/>
      <c r="EQ11" s="245"/>
      <c r="ER11" s="245"/>
      <c r="ES11" s="245"/>
      <c r="ET11" s="245"/>
      <c r="EU11" s="245"/>
      <c r="EV11" s="245"/>
      <c r="EW11" s="245"/>
      <c r="EX11" s="245"/>
      <c r="EY11" s="245"/>
      <c r="EZ11" s="245"/>
      <c r="FA11" s="245"/>
      <c r="FB11" s="245"/>
      <c r="FC11" s="245"/>
      <c r="FD11" s="245"/>
      <c r="FE11" s="245"/>
      <c r="FF11" s="245"/>
      <c r="FG11" s="245"/>
      <c r="FH11" s="245"/>
      <c r="FI11" s="245"/>
      <c r="FJ11" s="245"/>
      <c r="FK11" s="245"/>
      <c r="FL11" s="245"/>
      <c r="FM11" s="245"/>
      <c r="FN11" s="245"/>
      <c r="FO11" s="245"/>
      <c r="FP11" s="245"/>
      <c r="FQ11" s="245"/>
      <c r="FR11" s="245"/>
      <c r="FS11" s="245"/>
      <c r="FT11" s="245"/>
      <c r="FU11" s="245"/>
      <c r="FV11" s="245"/>
    </row>
    <row r="12" spans="1:178" ht="12.75" customHeight="1">
      <c r="A12" s="1035" t="s">
        <v>311</v>
      </c>
      <c r="B12" s="677" t="s">
        <v>312</v>
      </c>
      <c r="C12" s="678" t="s">
        <v>313</v>
      </c>
      <c r="D12" s="678"/>
      <c r="E12" s="1038" t="s">
        <v>314</v>
      </c>
      <c r="F12" s="679" t="s">
        <v>149</v>
      </c>
      <c r="G12" s="680">
        <f>[8]Feed!$F$4*1000/12</f>
        <v>47416.666666666664</v>
      </c>
      <c r="H12" s="680">
        <f>[8]Feed!$F$4*1000/12</f>
        <v>47416.666666666664</v>
      </c>
      <c r="I12" s="680">
        <f>[8]Feed!$F$4*1000/12</f>
        <v>47416.666666666664</v>
      </c>
      <c r="J12" s="680">
        <f>[8]Feed!$F$4*1000/12</f>
        <v>47416.666666666664</v>
      </c>
      <c r="K12" s="680">
        <f>[8]Feed!$F$4*1000/12</f>
        <v>47416.666666666664</v>
      </c>
      <c r="L12" s="680">
        <f>[8]Feed!$F$4*1000/12</f>
        <v>47416.666666666664</v>
      </c>
      <c r="M12" s="680">
        <f>[8]Feed!$F$4*1000/12</f>
        <v>47416.666666666664</v>
      </c>
      <c r="N12" s="680">
        <f>[8]Feed!$F$4*1000/12</f>
        <v>47416.666666666664</v>
      </c>
      <c r="O12" s="680">
        <f>[8]Feed!$F$4*1000/12</f>
        <v>47416.666666666664</v>
      </c>
      <c r="P12" s="680">
        <f>[8]Feed!$F$4*1000/12</f>
        <v>47416.666666666664</v>
      </c>
      <c r="Q12" s="680">
        <f>[8]Feed!$F$4*1000/12</f>
        <v>47416.666666666664</v>
      </c>
      <c r="R12" s="680">
        <f>[8]Feed!$F$4*1000/12</f>
        <v>47416.666666666664</v>
      </c>
      <c r="S12" s="680">
        <f>[8]Feed!$F$4*1000/12</f>
        <v>47416.666666666664</v>
      </c>
      <c r="T12" s="681">
        <f>[8]Feed!$F$4*1000/12</f>
        <v>47416.666666666664</v>
      </c>
      <c r="U12" s="682">
        <f>[8]Feed!$F$4*1000/12</f>
        <v>47416.666666666664</v>
      </c>
      <c r="V12" s="683">
        <f>[8]Feed!$F$4*1000/12</f>
        <v>47416.666666666664</v>
      </c>
      <c r="W12" s="682">
        <f>[8]Feed!$F$4*1000/12</f>
        <v>47416.666666666664</v>
      </c>
      <c r="X12" s="681">
        <f>[8]Feed!$F$4*1000/12</f>
        <v>47416.666666666664</v>
      </c>
      <c r="Y12" s="682">
        <f>[8]Feed!$F$4*1000/12</f>
        <v>47416.666666666664</v>
      </c>
      <c r="Z12" s="681">
        <f>[8]Feed!$F$4*1000/12</f>
        <v>47416.666666666664</v>
      </c>
      <c r="AA12" s="682">
        <f>[8]Feed!$F$4*1000/12</f>
        <v>47416.666666666664</v>
      </c>
      <c r="AB12" s="681">
        <f>[8]Feed!$F$4*1000/12</f>
        <v>47416.666666666664</v>
      </c>
      <c r="AC12" s="682">
        <f>[8]Feed!$F$4*1000/12</f>
        <v>47416.666666666664</v>
      </c>
      <c r="AD12" s="683">
        <f>[8]Feed!$F$4*1000/12</f>
        <v>47416.666666666664</v>
      </c>
      <c r="AE12" s="682">
        <f>[8]Feed!$F$4*1000/12</f>
        <v>47416.666666666664</v>
      </c>
      <c r="AF12" s="681">
        <f>[8]Feed!$F$4*1000/12</f>
        <v>47416.666666666664</v>
      </c>
      <c r="AG12" s="682">
        <f>[8]Feed!$F$4*1000/12</f>
        <v>47416.666666666664</v>
      </c>
      <c r="AH12" s="683">
        <f>[8]Feed!$F$4*1000/12</f>
        <v>47416.666666666664</v>
      </c>
      <c r="AI12" s="682">
        <f>[8]Feed!$F$4*1000/12</f>
        <v>47416.666666666664</v>
      </c>
      <c r="AJ12" s="681">
        <f>[8]Feed!$F$4*1000/12</f>
        <v>47416.666666666664</v>
      </c>
      <c r="AK12" s="682">
        <f>[8]Feed!$F$4*1000/12</f>
        <v>47416.666666666664</v>
      </c>
      <c r="AL12" s="681">
        <f>[8]Feed!$F$4*1000/12</f>
        <v>47416.666666666664</v>
      </c>
      <c r="AM12" s="682">
        <f>[8]Feed!$F$4*1000/12</f>
        <v>47416.666666666664</v>
      </c>
      <c r="AN12" s="681">
        <f>[8]Feed!$F$4*1000/12</f>
        <v>47416.666666666664</v>
      </c>
      <c r="AO12" s="682">
        <f>[8]Feed!$F$4*1000/12</f>
        <v>47416.666666666664</v>
      </c>
      <c r="AP12" s="681">
        <f>[8]Feed!$F$4*1000/12</f>
        <v>47416.666666666664</v>
      </c>
      <c r="AQ12" s="682">
        <f>[8]Feed!$F$4*1000/12</f>
        <v>47416.666666666664</v>
      </c>
      <c r="AR12" s="681">
        <f>[8]Feed!$F$4*1000/12</f>
        <v>47416.666666666664</v>
      </c>
      <c r="AS12" s="682">
        <f>[8]Feed!$F$4*1000/12</f>
        <v>47416.666666666664</v>
      </c>
      <c r="AT12" s="681">
        <f>[8]Feed!$F$4*1000/12</f>
        <v>47416.666666666664</v>
      </c>
      <c r="AU12" s="682">
        <f>[8]Feed!$F$4*1000/12</f>
        <v>47416.666666666664</v>
      </c>
      <c r="AV12" s="682">
        <f>[8]Feed!$F$4*1000/12</f>
        <v>47416.666666666664</v>
      </c>
      <c r="AW12" s="682">
        <f>[8]Feed!$F$4*1000/12</f>
        <v>47416.666666666664</v>
      </c>
      <c r="AX12" s="682">
        <f>[8]Feed!$F$4*1000/12</f>
        <v>47416.666666666664</v>
      </c>
      <c r="AY12" s="682">
        <f>[8]Feed!$F$4*1000/12</f>
        <v>47416.666666666664</v>
      </c>
      <c r="AZ12" s="682">
        <f>[8]Feed!$F$4*1000/12</f>
        <v>47416.666666666664</v>
      </c>
      <c r="BA12" s="682">
        <f>[8]Feed!$F$4*1000/12</f>
        <v>47416.666666666664</v>
      </c>
      <c r="BB12" s="682">
        <f>[8]Feed!$F$4*1000/12</f>
        <v>47416.666666666664</v>
      </c>
      <c r="BC12" s="682">
        <f>[8]Feed!$F$4*1000/12</f>
        <v>47416.666666666664</v>
      </c>
      <c r="BD12" s="682">
        <f>[8]Feed!$F$4*1000/12</f>
        <v>47416.666666666664</v>
      </c>
      <c r="BE12" s="682">
        <f>[8]Feed!$F$4*1000/12</f>
        <v>47416.666666666664</v>
      </c>
      <c r="BF12" s="682">
        <f>[8]Feed!$F$4*1000/12</f>
        <v>47416.666666666664</v>
      </c>
      <c r="BG12" s="682">
        <f>[8]Feed!$F$4*1000/12</f>
        <v>47416.666666666664</v>
      </c>
      <c r="BH12" s="682">
        <f>[8]Feed!$F$4*1000/12</f>
        <v>47416.666666666664</v>
      </c>
      <c r="BI12" s="682">
        <f>[8]Feed!$F$4*1000/12</f>
        <v>47416.666666666664</v>
      </c>
      <c r="BJ12" s="682">
        <f>[8]Feed!$F$4*1000/12</f>
        <v>47416.666666666664</v>
      </c>
      <c r="BK12" s="682">
        <f>[8]Feed!$F$4*1000/12</f>
        <v>47416.666666666664</v>
      </c>
      <c r="BL12" s="682">
        <f>[8]Feed!$F$4*1000/12</f>
        <v>47416.666666666664</v>
      </c>
      <c r="BM12" s="682">
        <f>[8]Feed!$F$4*1000/12</f>
        <v>47416.666666666664</v>
      </c>
      <c r="BN12" s="682">
        <f>[8]Feed!$F$4*1000/12</f>
        <v>47416.666666666664</v>
      </c>
      <c r="BO12" s="682">
        <f>[8]Feed!$F$4*1000/12</f>
        <v>47416.666666666664</v>
      </c>
      <c r="BP12" s="682">
        <f>[8]Feed!$F$4*1000/12</f>
        <v>47416.666666666664</v>
      </c>
      <c r="BQ12" s="682">
        <f>[8]Feed!$F$4*1000/12</f>
        <v>47416.666666666664</v>
      </c>
      <c r="BR12" s="682">
        <f>[8]Feed!$F$4*1000/12</f>
        <v>47416.666666666664</v>
      </c>
      <c r="BS12" s="682">
        <f>[8]Feed!$F$4*1000/12</f>
        <v>47416.666666666664</v>
      </c>
      <c r="BT12" s="682">
        <f>[8]Feed!$F$4*1000/12</f>
        <v>47416.666666666664</v>
      </c>
      <c r="BU12" s="682">
        <f>[8]Feed!$F$4*1000/12</f>
        <v>47416.666666666664</v>
      </c>
      <c r="BV12" s="682">
        <f>[8]Feed!$F$4*1000/12</f>
        <v>47416.666666666664</v>
      </c>
      <c r="BW12" s="682">
        <f>[8]Feed!$F$4*1000/12</f>
        <v>47416.666666666664</v>
      </c>
      <c r="BX12" s="682">
        <f>[8]Feed!$F$4*1000/12</f>
        <v>47416.666666666664</v>
      </c>
      <c r="BY12" s="682">
        <f>[8]Feed!$F$4*1000/12</f>
        <v>47416.666666666664</v>
      </c>
      <c r="BZ12" s="682">
        <f>[8]Feed!$F$4*1000/12</f>
        <v>47416.666666666664</v>
      </c>
      <c r="CA12" s="682">
        <f>[8]Feed!$F$4*1000/12</f>
        <v>47416.666666666664</v>
      </c>
      <c r="CB12" s="682">
        <f>[8]Feed!$F$4*1000/12</f>
        <v>47416.666666666664</v>
      </c>
      <c r="CC12" s="682">
        <f>[8]Feed!$F$4*1000/12</f>
        <v>47416.666666666664</v>
      </c>
      <c r="CD12" s="682">
        <f>[8]Feed!$F$4*1000/12</f>
        <v>47416.666666666664</v>
      </c>
      <c r="CE12" s="682">
        <f>[8]Feed!$F$4*1000/12</f>
        <v>47416.666666666664</v>
      </c>
      <c r="CF12" s="682">
        <f>[8]Feed!$F$4*1000/12</f>
        <v>47416.666666666664</v>
      </c>
      <c r="CG12" s="682">
        <f>[8]Feed!$F$4*1000/12</f>
        <v>47416.666666666664</v>
      </c>
      <c r="CH12" s="682">
        <f>[8]Feed!$F$4*1000/12</f>
        <v>47416.666666666664</v>
      </c>
      <c r="CI12" s="682">
        <f>[8]Feed!$F$4*1000/12</f>
        <v>47416.666666666664</v>
      </c>
      <c r="CJ12" s="682">
        <f>[8]Feed!$F$4*1000/12</f>
        <v>47416.666666666664</v>
      </c>
      <c r="CK12" s="682">
        <f>[8]Feed!$F$4*1000/12</f>
        <v>47416.666666666664</v>
      </c>
      <c r="CL12" s="684">
        <f>[8]Feed!$F$4*1000/12</f>
        <v>47416.666666666664</v>
      </c>
      <c r="CM12" s="685">
        <f t="shared" si="0"/>
        <v>47416.666666666613</v>
      </c>
      <c r="CN12" s="245"/>
      <c r="CO12" s="245"/>
      <c r="CP12" s="245"/>
      <c r="CQ12" s="245"/>
      <c r="CR12" s="245"/>
      <c r="CS12" s="245"/>
      <c r="CT12" s="245"/>
      <c r="CU12" s="245"/>
      <c r="CV12" s="245"/>
      <c r="CW12" s="245"/>
      <c r="CX12" s="245"/>
      <c r="CY12" s="245"/>
      <c r="CZ12" s="245"/>
      <c r="DA12" s="245"/>
      <c r="DB12" s="245"/>
      <c r="DC12" s="245"/>
      <c r="DD12" s="245"/>
      <c r="DE12" s="245"/>
      <c r="DF12" s="245"/>
      <c r="DG12" s="245"/>
      <c r="DH12" s="245"/>
      <c r="DI12" s="245"/>
      <c r="DJ12" s="245"/>
      <c r="DK12" s="245"/>
      <c r="DL12" s="245"/>
      <c r="DM12" s="245"/>
      <c r="DN12" s="245"/>
      <c r="DO12" s="245"/>
      <c r="DP12" s="245"/>
      <c r="DQ12" s="245"/>
      <c r="DR12" s="245"/>
      <c r="DS12" s="245"/>
      <c r="DT12" s="245"/>
      <c r="DU12" s="245"/>
      <c r="DV12" s="245"/>
      <c r="DW12" s="245"/>
      <c r="DX12" s="245"/>
      <c r="DY12" s="245"/>
      <c r="DZ12" s="245"/>
      <c r="EA12" s="245"/>
      <c r="EB12" s="245"/>
      <c r="EC12" s="245"/>
      <c r="ED12" s="245"/>
      <c r="EE12" s="245"/>
      <c r="EF12" s="245"/>
      <c r="EG12" s="245"/>
      <c r="EH12" s="245"/>
      <c r="EI12" s="245"/>
      <c r="EJ12" s="245"/>
      <c r="EK12" s="245"/>
      <c r="EL12" s="245"/>
      <c r="EM12" s="245"/>
      <c r="EN12" s="245"/>
      <c r="EO12" s="245"/>
      <c r="EP12" s="245"/>
      <c r="EQ12" s="245"/>
      <c r="ER12" s="245"/>
      <c r="ES12" s="245"/>
      <c r="ET12" s="245"/>
      <c r="EU12" s="245"/>
      <c r="EV12" s="245"/>
      <c r="EW12" s="245"/>
      <c r="EX12" s="245"/>
      <c r="EY12" s="245"/>
      <c r="EZ12" s="245"/>
      <c r="FA12" s="245"/>
      <c r="FB12" s="245"/>
      <c r="FC12" s="245"/>
      <c r="FD12" s="245"/>
      <c r="FE12" s="245"/>
      <c r="FF12" s="245"/>
      <c r="FG12" s="245"/>
      <c r="FH12" s="245"/>
      <c r="FI12" s="245"/>
      <c r="FJ12" s="245"/>
      <c r="FK12" s="245"/>
      <c r="FL12" s="245"/>
      <c r="FM12" s="245"/>
      <c r="FN12" s="245"/>
      <c r="FO12" s="245"/>
      <c r="FP12" s="245"/>
      <c r="FQ12" s="245"/>
      <c r="FR12" s="245"/>
      <c r="FS12" s="245"/>
      <c r="FT12" s="245"/>
      <c r="FU12" s="245"/>
      <c r="FV12" s="245"/>
    </row>
    <row r="13" spans="1:178">
      <c r="A13" s="1036"/>
      <c r="B13" s="686" t="s">
        <v>312</v>
      </c>
      <c r="C13" s="687" t="s">
        <v>313</v>
      </c>
      <c r="D13" s="687"/>
      <c r="E13" s="1029"/>
      <c r="F13" s="688" t="s">
        <v>0</v>
      </c>
      <c r="G13" s="680">
        <f>[8]Feed!$F$6*1000/12</f>
        <v>58083.333333333336</v>
      </c>
      <c r="H13" s="680">
        <f>[8]Feed!$F$6*1000/12</f>
        <v>58083.333333333336</v>
      </c>
      <c r="I13" s="680">
        <f>[8]Feed!$F$6*1000/12</f>
        <v>58083.333333333336</v>
      </c>
      <c r="J13" s="680">
        <f>[8]Feed!$F$6*1000/12</f>
        <v>58083.333333333336</v>
      </c>
      <c r="K13" s="680">
        <f>[8]Feed!$F$6*1000/12</f>
        <v>58083.333333333336</v>
      </c>
      <c r="L13" s="680">
        <f>[8]Feed!$F$6*1000/12</f>
        <v>58083.333333333336</v>
      </c>
      <c r="M13" s="680">
        <f>[8]Feed!$F$6*1000/12</f>
        <v>58083.333333333336</v>
      </c>
      <c r="N13" s="680">
        <f>[8]Feed!$F$6*1000/12</f>
        <v>58083.333333333336</v>
      </c>
      <c r="O13" s="680">
        <f>[8]Feed!$F$6*1000/12</f>
        <v>58083.333333333336</v>
      </c>
      <c r="P13" s="680">
        <f>[8]Feed!$F$6*1000/12</f>
        <v>58083.333333333336</v>
      </c>
      <c r="Q13" s="680">
        <f>[8]Feed!$F$6*1000/12</f>
        <v>58083.333333333336</v>
      </c>
      <c r="R13" s="680">
        <f>[8]Feed!$F$6*1000/12</f>
        <v>58083.333333333336</v>
      </c>
      <c r="S13" s="680">
        <f>[8]Feed!$F$6*1000/12</f>
        <v>58083.333333333336</v>
      </c>
      <c r="T13" s="683">
        <f>[8]Feed!$F$6*1000/12</f>
        <v>58083.333333333336</v>
      </c>
      <c r="U13" s="680">
        <f>[8]Feed!$F$6*1000/12</f>
        <v>58083.333333333336</v>
      </c>
      <c r="V13" s="683">
        <f>[8]Feed!$F$6*1000/12</f>
        <v>58083.333333333336</v>
      </c>
      <c r="W13" s="680">
        <f>[8]Feed!$F$6*1000/12</f>
        <v>58083.333333333336</v>
      </c>
      <c r="X13" s="683">
        <f>[8]Feed!$F$6*1000/12</f>
        <v>58083.333333333336</v>
      </c>
      <c r="Y13" s="680">
        <f>[8]Feed!$F$6*1000/12</f>
        <v>58083.333333333336</v>
      </c>
      <c r="Z13" s="683">
        <f>[8]Feed!$F$6*1000/12</f>
        <v>58083.333333333336</v>
      </c>
      <c r="AA13" s="680">
        <f>[8]Feed!$F$6*1000/12</f>
        <v>58083.333333333336</v>
      </c>
      <c r="AB13" s="683">
        <f>[8]Feed!$F$6*1000/12</f>
        <v>58083.333333333336</v>
      </c>
      <c r="AC13" s="680">
        <f>[8]Feed!$F$6*1000/12</f>
        <v>58083.333333333336</v>
      </c>
      <c r="AD13" s="683">
        <f>[8]Feed!$F$6*1000/12</f>
        <v>58083.333333333336</v>
      </c>
      <c r="AE13" s="680">
        <f>[8]Feed!$F$6*1000/12</f>
        <v>58083.333333333336</v>
      </c>
      <c r="AF13" s="683">
        <f>[8]Feed!$F$6*1000/12</f>
        <v>58083.333333333336</v>
      </c>
      <c r="AG13" s="680">
        <f>[8]Feed!$F$6*1000/12</f>
        <v>58083.333333333336</v>
      </c>
      <c r="AH13" s="683">
        <f>[8]Feed!$F$6*1000/12</f>
        <v>58083.333333333336</v>
      </c>
      <c r="AI13" s="680">
        <f>[8]Feed!$F$6*1000/12</f>
        <v>58083.333333333336</v>
      </c>
      <c r="AJ13" s="683">
        <f>[8]Feed!$F$6*1000/12</f>
        <v>58083.333333333336</v>
      </c>
      <c r="AK13" s="680">
        <f>[8]Feed!$F$6*1000/12</f>
        <v>58083.333333333336</v>
      </c>
      <c r="AL13" s="683">
        <f>[8]Feed!$F$6*1000/12</f>
        <v>58083.333333333336</v>
      </c>
      <c r="AM13" s="680">
        <f>[8]Feed!$F$6*1000/12</f>
        <v>58083.333333333336</v>
      </c>
      <c r="AN13" s="683">
        <f>[8]Feed!$F$6*1000/12</f>
        <v>58083.333333333336</v>
      </c>
      <c r="AO13" s="680">
        <f>[8]Feed!$F$6*1000/12</f>
        <v>58083.333333333336</v>
      </c>
      <c r="AP13" s="683">
        <f>[8]Feed!$F$6*1000/12</f>
        <v>58083.333333333336</v>
      </c>
      <c r="AQ13" s="680">
        <f>[8]Feed!$F$6*1000/12</f>
        <v>58083.333333333336</v>
      </c>
      <c r="AR13" s="683">
        <f>[8]Feed!$F$6*1000/12</f>
        <v>58083.333333333336</v>
      </c>
      <c r="AS13" s="680">
        <f>[8]Feed!$F$6*1000/12</f>
        <v>58083.333333333336</v>
      </c>
      <c r="AT13" s="683">
        <f>[8]Feed!$F$6*1000/12</f>
        <v>58083.333333333336</v>
      </c>
      <c r="AU13" s="680">
        <f>[8]Feed!$F$6*1000/12</f>
        <v>58083.333333333336</v>
      </c>
      <c r="AV13" s="680">
        <f>[8]Feed!$F$6*1000/12</f>
        <v>58083.333333333336</v>
      </c>
      <c r="AW13" s="680">
        <f>[8]Feed!$F$6*1000/12</f>
        <v>58083.333333333336</v>
      </c>
      <c r="AX13" s="680">
        <f>[8]Feed!$F$6*1000/12</f>
        <v>58083.333333333336</v>
      </c>
      <c r="AY13" s="680">
        <f>[8]Feed!$F$6*1000/12</f>
        <v>58083.333333333336</v>
      </c>
      <c r="AZ13" s="680">
        <f>[8]Feed!$F$6*1000/12</f>
        <v>58083.333333333336</v>
      </c>
      <c r="BA13" s="680">
        <f>[8]Feed!$F$6*1000/12</f>
        <v>58083.333333333336</v>
      </c>
      <c r="BB13" s="680">
        <f>[8]Feed!$F$6*1000/12</f>
        <v>58083.333333333336</v>
      </c>
      <c r="BC13" s="680">
        <f>[8]Feed!$F$6*1000/12</f>
        <v>58083.333333333336</v>
      </c>
      <c r="BD13" s="680">
        <f>[8]Feed!$F$6*1000/12</f>
        <v>58083.333333333336</v>
      </c>
      <c r="BE13" s="680">
        <f>[8]Feed!$F$6*1000/12</f>
        <v>58083.333333333336</v>
      </c>
      <c r="BF13" s="680">
        <f>[8]Feed!$F$6*1000/12</f>
        <v>58083.333333333336</v>
      </c>
      <c r="BG13" s="680">
        <f>[8]Feed!$F$6*1000/12</f>
        <v>58083.333333333336</v>
      </c>
      <c r="BH13" s="680">
        <f>[8]Feed!$F$6*1000/12</f>
        <v>58083.333333333336</v>
      </c>
      <c r="BI13" s="680">
        <f>[8]Feed!$F$6*1000/12</f>
        <v>58083.333333333336</v>
      </c>
      <c r="BJ13" s="680">
        <f>[8]Feed!$F$6*1000/12</f>
        <v>58083.333333333336</v>
      </c>
      <c r="BK13" s="680">
        <f>[8]Feed!$F$6*1000/12</f>
        <v>58083.333333333336</v>
      </c>
      <c r="BL13" s="680">
        <f>[8]Feed!$F$6*1000/12</f>
        <v>58083.333333333336</v>
      </c>
      <c r="BM13" s="680">
        <f>[8]Feed!$F$6*1000/12</f>
        <v>58083.333333333336</v>
      </c>
      <c r="BN13" s="680">
        <f>[8]Feed!$F$6*1000/12</f>
        <v>58083.333333333336</v>
      </c>
      <c r="BO13" s="680">
        <f>[8]Feed!$F$6*1000/12</f>
        <v>58083.333333333336</v>
      </c>
      <c r="BP13" s="680">
        <f>[8]Feed!$F$6*1000/12</f>
        <v>58083.333333333336</v>
      </c>
      <c r="BQ13" s="680">
        <f>[8]Feed!$F$6*1000/12</f>
        <v>58083.333333333336</v>
      </c>
      <c r="BR13" s="680">
        <f>[8]Feed!$F$6*1000/12</f>
        <v>58083.333333333336</v>
      </c>
      <c r="BS13" s="680">
        <f>[8]Feed!$F$6*1000/12</f>
        <v>58083.333333333336</v>
      </c>
      <c r="BT13" s="680">
        <f>[8]Feed!$F$6*1000/12</f>
        <v>58083.333333333336</v>
      </c>
      <c r="BU13" s="680">
        <f>[8]Feed!$F$6*1000/12</f>
        <v>58083.333333333336</v>
      </c>
      <c r="BV13" s="680">
        <f>[8]Feed!$F$6*1000/12</f>
        <v>58083.333333333336</v>
      </c>
      <c r="BW13" s="680">
        <f>[8]Feed!$F$6*1000/12</f>
        <v>58083.333333333336</v>
      </c>
      <c r="BX13" s="680">
        <f>[8]Feed!$F$6*1000/12</f>
        <v>58083.333333333336</v>
      </c>
      <c r="BY13" s="680">
        <f>[8]Feed!$F$6*1000/12</f>
        <v>58083.333333333336</v>
      </c>
      <c r="BZ13" s="680">
        <f>[8]Feed!$F$6*1000/12</f>
        <v>58083.333333333336</v>
      </c>
      <c r="CA13" s="680">
        <f>[8]Feed!$F$6*1000/12</f>
        <v>58083.333333333336</v>
      </c>
      <c r="CB13" s="680">
        <f>[8]Feed!$F$6*1000/12</f>
        <v>58083.333333333336</v>
      </c>
      <c r="CC13" s="680">
        <f>[8]Feed!$F$6*1000/12</f>
        <v>58083.333333333336</v>
      </c>
      <c r="CD13" s="680">
        <f>[8]Feed!$F$6*1000/12</f>
        <v>58083.333333333336</v>
      </c>
      <c r="CE13" s="680">
        <f>[8]Feed!$F$6*1000/12</f>
        <v>58083.333333333336</v>
      </c>
      <c r="CF13" s="680">
        <f>[8]Feed!$F$6*1000/12</f>
        <v>58083.333333333336</v>
      </c>
      <c r="CG13" s="680">
        <f>[8]Feed!$F$6*1000/12</f>
        <v>58083.333333333336</v>
      </c>
      <c r="CH13" s="680">
        <f>[8]Feed!$F$6*1000/12</f>
        <v>58083.333333333336</v>
      </c>
      <c r="CI13" s="680">
        <f>[8]Feed!$F$6*1000/12</f>
        <v>58083.333333333336</v>
      </c>
      <c r="CJ13" s="680">
        <f>[8]Feed!$F$6*1000/12</f>
        <v>58083.333333333336</v>
      </c>
      <c r="CK13" s="680">
        <f>[8]Feed!$F$6*1000/12</f>
        <v>58083.333333333336</v>
      </c>
      <c r="CL13" s="689">
        <f>[8]Feed!$F$6*1000/12</f>
        <v>58083.333333333336</v>
      </c>
      <c r="CM13" s="685">
        <f t="shared" si="0"/>
        <v>58083.333333333343</v>
      </c>
      <c r="CN13" s="245"/>
      <c r="CO13" s="245"/>
      <c r="CP13" s="245"/>
      <c r="CQ13" s="245"/>
      <c r="CR13" s="245"/>
      <c r="CS13" s="245"/>
      <c r="CT13" s="245"/>
      <c r="CU13" s="245"/>
      <c r="CV13" s="245"/>
      <c r="CW13" s="245"/>
      <c r="CX13" s="245"/>
      <c r="CY13" s="245"/>
      <c r="CZ13" s="245"/>
      <c r="DA13" s="245"/>
      <c r="DB13" s="245"/>
      <c r="DC13" s="245"/>
      <c r="DD13" s="245"/>
      <c r="DE13" s="245"/>
      <c r="DF13" s="245"/>
      <c r="DG13" s="245"/>
      <c r="DH13" s="245"/>
      <c r="DI13" s="245"/>
      <c r="DJ13" s="245"/>
      <c r="DK13" s="245"/>
      <c r="DL13" s="245"/>
      <c r="DM13" s="245"/>
      <c r="DN13" s="245"/>
      <c r="DO13" s="245"/>
      <c r="DP13" s="245"/>
      <c r="DQ13" s="245"/>
      <c r="DR13" s="245"/>
      <c r="DS13" s="245"/>
      <c r="DT13" s="245"/>
      <c r="DU13" s="245"/>
      <c r="DV13" s="245"/>
      <c r="DW13" s="245"/>
      <c r="DX13" s="245"/>
      <c r="DY13" s="245"/>
      <c r="DZ13" s="245"/>
      <c r="EA13" s="245"/>
      <c r="EB13" s="245"/>
      <c r="EC13" s="245"/>
      <c r="ED13" s="245"/>
      <c r="EE13" s="245"/>
      <c r="EF13" s="245"/>
      <c r="EG13" s="245"/>
      <c r="EH13" s="245"/>
      <c r="EI13" s="245"/>
      <c r="EJ13" s="245"/>
      <c r="EK13" s="245"/>
      <c r="EL13" s="245"/>
      <c r="EM13" s="245"/>
      <c r="EN13" s="245"/>
      <c r="EO13" s="245"/>
      <c r="EP13" s="245"/>
      <c r="EQ13" s="245"/>
      <c r="ER13" s="245"/>
      <c r="ES13" s="245"/>
      <c r="ET13" s="245"/>
      <c r="EU13" s="245"/>
      <c r="EV13" s="245"/>
      <c r="EW13" s="245"/>
      <c r="EX13" s="245"/>
      <c r="EY13" s="245"/>
      <c r="EZ13" s="245"/>
      <c r="FA13" s="245"/>
      <c r="FB13" s="245"/>
      <c r="FC13" s="245"/>
      <c r="FD13" s="245"/>
      <c r="FE13" s="245"/>
      <c r="FF13" s="245"/>
      <c r="FG13" s="245"/>
      <c r="FH13" s="245"/>
      <c r="FI13" s="245"/>
      <c r="FJ13" s="245"/>
      <c r="FK13" s="245"/>
      <c r="FL13" s="245"/>
      <c r="FM13" s="245"/>
      <c r="FN13" s="245"/>
      <c r="FO13" s="245"/>
      <c r="FP13" s="245"/>
      <c r="FQ13" s="245"/>
      <c r="FR13" s="245"/>
      <c r="FS13" s="245"/>
      <c r="FT13" s="245"/>
      <c r="FU13" s="245"/>
      <c r="FV13" s="245"/>
    </row>
    <row r="14" spans="1:178">
      <c r="A14" s="1036"/>
      <c r="B14" s="686" t="s">
        <v>312</v>
      </c>
      <c r="C14" s="687" t="s">
        <v>313</v>
      </c>
      <c r="D14" s="687"/>
      <c r="E14" s="1029"/>
      <c r="F14" s="688" t="s">
        <v>306</v>
      </c>
      <c r="G14" s="680">
        <f>[8]Feed!$F$7*1000/12</f>
        <v>11333.333333333334</v>
      </c>
      <c r="H14" s="680">
        <f>[8]Feed!$F$7*1000/12</f>
        <v>11333.333333333334</v>
      </c>
      <c r="I14" s="680">
        <f>[8]Feed!$F$7*1000/12</f>
        <v>11333.333333333334</v>
      </c>
      <c r="J14" s="680">
        <f>[8]Feed!$F$7*1000/12</f>
        <v>11333.333333333334</v>
      </c>
      <c r="K14" s="680">
        <f>[8]Feed!$F$7*1000/12</f>
        <v>11333.333333333334</v>
      </c>
      <c r="L14" s="680">
        <f>[8]Feed!$F$7*1000/12</f>
        <v>11333.333333333334</v>
      </c>
      <c r="M14" s="680">
        <f>[8]Feed!$F$7*1000/12</f>
        <v>11333.333333333334</v>
      </c>
      <c r="N14" s="680">
        <f>[8]Feed!$F$7*1000/12</f>
        <v>11333.333333333334</v>
      </c>
      <c r="O14" s="680">
        <f>[8]Feed!$F$7*1000/12</f>
        <v>11333.333333333334</v>
      </c>
      <c r="P14" s="680">
        <f>[8]Feed!$F$7*1000/12</f>
        <v>11333.333333333334</v>
      </c>
      <c r="Q14" s="680">
        <f>[8]Feed!$F$7*1000/12</f>
        <v>11333.333333333334</v>
      </c>
      <c r="R14" s="680">
        <f>[8]Feed!$F$7*1000/12</f>
        <v>11333.333333333334</v>
      </c>
      <c r="S14" s="680">
        <f>[8]Feed!$F$7*1000/12</f>
        <v>11333.333333333334</v>
      </c>
      <c r="T14" s="683">
        <f>[8]Feed!$F$7*1000/12</f>
        <v>11333.333333333334</v>
      </c>
      <c r="U14" s="680">
        <f>[8]Feed!$F$7*1000/12</f>
        <v>11333.333333333334</v>
      </c>
      <c r="V14" s="683">
        <f>[8]Feed!$F$7*1000/12</f>
        <v>11333.333333333334</v>
      </c>
      <c r="W14" s="680">
        <f>[8]Feed!$F$7*1000/12</f>
        <v>11333.333333333334</v>
      </c>
      <c r="X14" s="683">
        <f>[8]Feed!$F$7*1000/12</f>
        <v>11333.333333333334</v>
      </c>
      <c r="Y14" s="680">
        <f>[8]Feed!$F$7*1000/12</f>
        <v>11333.333333333334</v>
      </c>
      <c r="Z14" s="683">
        <f>[8]Feed!$F$7*1000/12</f>
        <v>11333.333333333334</v>
      </c>
      <c r="AA14" s="680">
        <f>[8]Feed!$F$7*1000/12</f>
        <v>11333.333333333334</v>
      </c>
      <c r="AB14" s="683">
        <f>[8]Feed!$F$7*1000/12</f>
        <v>11333.333333333334</v>
      </c>
      <c r="AC14" s="680">
        <f>[8]Feed!$F$7*1000/12</f>
        <v>11333.333333333334</v>
      </c>
      <c r="AD14" s="683">
        <f>[8]Feed!$F$7*1000/12</f>
        <v>11333.333333333334</v>
      </c>
      <c r="AE14" s="680">
        <f>[8]Feed!$F$7*1000/12</f>
        <v>11333.333333333334</v>
      </c>
      <c r="AF14" s="683">
        <f>[8]Feed!$F$7*1000/12</f>
        <v>11333.333333333334</v>
      </c>
      <c r="AG14" s="680">
        <f>[8]Feed!$F$7*1000/12</f>
        <v>11333.333333333334</v>
      </c>
      <c r="AH14" s="683">
        <f>[8]Feed!$F$7*1000/12</f>
        <v>11333.333333333334</v>
      </c>
      <c r="AI14" s="680">
        <f>[8]Feed!$F$7*1000/12</f>
        <v>11333.333333333334</v>
      </c>
      <c r="AJ14" s="683">
        <f>[8]Feed!$F$7*1000/12</f>
        <v>11333.333333333334</v>
      </c>
      <c r="AK14" s="680">
        <f>[8]Feed!$F$7*1000/12</f>
        <v>11333.333333333334</v>
      </c>
      <c r="AL14" s="683">
        <f>[8]Feed!$F$7*1000/12</f>
        <v>11333.333333333334</v>
      </c>
      <c r="AM14" s="680">
        <f>[8]Feed!$F$7*1000/12</f>
        <v>11333.333333333334</v>
      </c>
      <c r="AN14" s="683">
        <f>[8]Feed!$F$7*1000/12</f>
        <v>11333.333333333334</v>
      </c>
      <c r="AO14" s="680">
        <f>[8]Feed!$F$7*1000/12</f>
        <v>11333.333333333334</v>
      </c>
      <c r="AP14" s="683">
        <f>[8]Feed!$F$7*1000/12</f>
        <v>11333.333333333334</v>
      </c>
      <c r="AQ14" s="680">
        <f>[8]Feed!$F$7*1000/12</f>
        <v>11333.333333333334</v>
      </c>
      <c r="AR14" s="683">
        <f>[8]Feed!$F$7*1000/12</f>
        <v>11333.333333333334</v>
      </c>
      <c r="AS14" s="680">
        <f>[8]Feed!$F$7*1000/12</f>
        <v>11333.333333333334</v>
      </c>
      <c r="AT14" s="683">
        <f>[8]Feed!$F$7*1000/12</f>
        <v>11333.333333333334</v>
      </c>
      <c r="AU14" s="680">
        <f>[8]Feed!$F$7*1000/12</f>
        <v>11333.333333333334</v>
      </c>
      <c r="AV14" s="680">
        <f>[8]Feed!$F$7*1000/12</f>
        <v>11333.333333333334</v>
      </c>
      <c r="AW14" s="680">
        <f>[8]Feed!$F$7*1000/12</f>
        <v>11333.333333333334</v>
      </c>
      <c r="AX14" s="680">
        <f>[8]Feed!$F$7*1000/12</f>
        <v>11333.333333333334</v>
      </c>
      <c r="AY14" s="680">
        <f>[8]Feed!$F$7*1000/12</f>
        <v>11333.333333333334</v>
      </c>
      <c r="AZ14" s="680">
        <f>[8]Feed!$F$7*1000/12</f>
        <v>11333.333333333334</v>
      </c>
      <c r="BA14" s="680">
        <f>[8]Feed!$F$7*1000/12</f>
        <v>11333.333333333334</v>
      </c>
      <c r="BB14" s="680">
        <f>[8]Feed!$F$7*1000/12</f>
        <v>11333.333333333334</v>
      </c>
      <c r="BC14" s="680">
        <f>[8]Feed!$F$7*1000/12</f>
        <v>11333.333333333334</v>
      </c>
      <c r="BD14" s="680">
        <f>[8]Feed!$F$7*1000/12</f>
        <v>11333.333333333334</v>
      </c>
      <c r="BE14" s="680">
        <f>[8]Feed!$F$7*1000/12</f>
        <v>11333.333333333334</v>
      </c>
      <c r="BF14" s="680">
        <f>[8]Feed!$F$7*1000/12</f>
        <v>11333.333333333334</v>
      </c>
      <c r="BG14" s="680">
        <f>[8]Feed!$F$7*1000/12</f>
        <v>11333.333333333334</v>
      </c>
      <c r="BH14" s="680">
        <f>[8]Feed!$F$7*1000/12</f>
        <v>11333.333333333334</v>
      </c>
      <c r="BI14" s="680">
        <f>[8]Feed!$F$7*1000/12</f>
        <v>11333.333333333334</v>
      </c>
      <c r="BJ14" s="680">
        <f>[8]Feed!$F$7*1000/12</f>
        <v>11333.333333333334</v>
      </c>
      <c r="BK14" s="680">
        <f>[8]Feed!$F$7*1000/12</f>
        <v>11333.333333333334</v>
      </c>
      <c r="BL14" s="680">
        <f>[8]Feed!$F$7*1000/12</f>
        <v>11333.333333333334</v>
      </c>
      <c r="BM14" s="680">
        <f>[8]Feed!$F$7*1000/12</f>
        <v>11333.333333333334</v>
      </c>
      <c r="BN14" s="680">
        <f>[8]Feed!$F$7*1000/12</f>
        <v>11333.333333333334</v>
      </c>
      <c r="BO14" s="680">
        <f>[8]Feed!$F$7*1000/12</f>
        <v>11333.333333333334</v>
      </c>
      <c r="BP14" s="680">
        <f>[8]Feed!$F$7*1000/12</f>
        <v>11333.333333333334</v>
      </c>
      <c r="BQ14" s="680">
        <f>[8]Feed!$F$7*1000/12</f>
        <v>11333.333333333334</v>
      </c>
      <c r="BR14" s="680">
        <f>[8]Feed!$F$7*1000/12</f>
        <v>11333.333333333334</v>
      </c>
      <c r="BS14" s="680">
        <f>[8]Feed!$F$7*1000/12</f>
        <v>11333.333333333334</v>
      </c>
      <c r="BT14" s="680">
        <f>[8]Feed!$F$7*1000/12</f>
        <v>11333.333333333334</v>
      </c>
      <c r="BU14" s="680">
        <f>[8]Feed!$F$7*1000/12</f>
        <v>11333.333333333334</v>
      </c>
      <c r="BV14" s="680">
        <f>[8]Feed!$F$7*1000/12</f>
        <v>11333.333333333334</v>
      </c>
      <c r="BW14" s="680">
        <f>[8]Feed!$F$7*1000/12</f>
        <v>11333.333333333334</v>
      </c>
      <c r="BX14" s="680">
        <f>[8]Feed!$F$7*1000/12</f>
        <v>11333.333333333334</v>
      </c>
      <c r="BY14" s="680">
        <f>[8]Feed!$F$7*1000/12</f>
        <v>11333.333333333334</v>
      </c>
      <c r="BZ14" s="680">
        <f>[8]Feed!$F$7*1000/12</f>
        <v>11333.333333333334</v>
      </c>
      <c r="CA14" s="680">
        <f>[8]Feed!$F$7*1000/12</f>
        <v>11333.333333333334</v>
      </c>
      <c r="CB14" s="680">
        <f>[8]Feed!$F$7*1000/12</f>
        <v>11333.333333333334</v>
      </c>
      <c r="CC14" s="680">
        <f>[8]Feed!$F$7*1000/12</f>
        <v>11333.333333333334</v>
      </c>
      <c r="CD14" s="680">
        <f>[8]Feed!$F$7*1000/12</f>
        <v>11333.333333333334</v>
      </c>
      <c r="CE14" s="680">
        <f>[8]Feed!$F$7*1000/12</f>
        <v>11333.333333333334</v>
      </c>
      <c r="CF14" s="680">
        <f>[8]Feed!$F$7*1000/12</f>
        <v>11333.333333333334</v>
      </c>
      <c r="CG14" s="680">
        <f>[8]Feed!$F$7*1000/12</f>
        <v>11333.333333333334</v>
      </c>
      <c r="CH14" s="680">
        <f>[8]Feed!$F$7*1000/12</f>
        <v>11333.333333333334</v>
      </c>
      <c r="CI14" s="680">
        <f>[8]Feed!$F$7*1000/12</f>
        <v>11333.333333333334</v>
      </c>
      <c r="CJ14" s="680">
        <f>[8]Feed!$F$7*1000/12</f>
        <v>11333.333333333334</v>
      </c>
      <c r="CK14" s="680">
        <f>[8]Feed!$F$7*1000/12</f>
        <v>11333.333333333334</v>
      </c>
      <c r="CL14" s="689">
        <f>[8]Feed!$F$7*1000/12</f>
        <v>11333.333333333334</v>
      </c>
      <c r="CM14" s="685">
        <f t="shared" si="0"/>
        <v>11333.333333333347</v>
      </c>
      <c r="CN14" s="245"/>
      <c r="CO14" s="245"/>
      <c r="CP14" s="245"/>
      <c r="CQ14" s="245"/>
      <c r="CR14" s="245"/>
      <c r="CS14" s="245"/>
      <c r="CT14" s="245"/>
      <c r="CU14" s="245"/>
      <c r="CV14" s="245"/>
      <c r="CW14" s="245"/>
      <c r="CX14" s="245"/>
      <c r="CY14" s="245"/>
      <c r="CZ14" s="245"/>
      <c r="DA14" s="245"/>
      <c r="DB14" s="245"/>
      <c r="DC14" s="245"/>
      <c r="DD14" s="245"/>
      <c r="DE14" s="245"/>
      <c r="DF14" s="245"/>
      <c r="DG14" s="245"/>
      <c r="DH14" s="245"/>
      <c r="DI14" s="245"/>
      <c r="DJ14" s="245"/>
      <c r="DK14" s="245"/>
      <c r="DL14" s="245"/>
      <c r="DM14" s="245"/>
      <c r="DN14" s="245"/>
      <c r="DO14" s="245"/>
      <c r="DP14" s="245"/>
      <c r="DQ14" s="245"/>
      <c r="DR14" s="245"/>
      <c r="DS14" s="245"/>
      <c r="DT14" s="245"/>
      <c r="DU14" s="245"/>
      <c r="DV14" s="245"/>
      <c r="DW14" s="245"/>
      <c r="DX14" s="245"/>
      <c r="DY14" s="245"/>
      <c r="DZ14" s="245"/>
      <c r="EA14" s="245"/>
      <c r="EB14" s="245"/>
      <c r="EC14" s="245"/>
      <c r="ED14" s="245"/>
      <c r="EE14" s="245"/>
      <c r="EF14" s="245"/>
      <c r="EG14" s="245"/>
      <c r="EH14" s="245"/>
      <c r="EI14" s="245"/>
      <c r="EJ14" s="245"/>
      <c r="EK14" s="245"/>
      <c r="EL14" s="245"/>
      <c r="EM14" s="245"/>
      <c r="EN14" s="245"/>
      <c r="EO14" s="245"/>
      <c r="EP14" s="245"/>
      <c r="EQ14" s="245"/>
      <c r="ER14" s="245"/>
      <c r="ES14" s="245"/>
      <c r="ET14" s="245"/>
      <c r="EU14" s="245"/>
      <c r="EV14" s="245"/>
      <c r="EW14" s="245"/>
      <c r="EX14" s="245"/>
      <c r="EY14" s="245"/>
      <c r="EZ14" s="245"/>
      <c r="FA14" s="245"/>
      <c r="FB14" s="245"/>
      <c r="FC14" s="245"/>
      <c r="FD14" s="245"/>
      <c r="FE14" s="245"/>
      <c r="FF14" s="245"/>
      <c r="FG14" s="245"/>
      <c r="FH14" s="245"/>
      <c r="FI14" s="245"/>
      <c r="FJ14" s="245"/>
      <c r="FK14" s="245"/>
      <c r="FL14" s="245"/>
      <c r="FM14" s="245"/>
      <c r="FN14" s="245"/>
      <c r="FO14" s="245"/>
      <c r="FP14" s="245"/>
      <c r="FQ14" s="245"/>
      <c r="FR14" s="245"/>
      <c r="FS14" s="245"/>
      <c r="FT14" s="245"/>
      <c r="FU14" s="245"/>
      <c r="FV14" s="245"/>
    </row>
    <row r="15" spans="1:178">
      <c r="A15" s="1037"/>
      <c r="B15" s="690" t="s">
        <v>312</v>
      </c>
      <c r="C15" s="691" t="s">
        <v>313</v>
      </c>
      <c r="D15" s="691"/>
      <c r="E15" s="1039"/>
      <c r="F15" s="692" t="s">
        <v>1</v>
      </c>
      <c r="G15" s="693">
        <f>[8]Feed!$F$5*1000/12</f>
        <v>134250</v>
      </c>
      <c r="H15" s="693">
        <f>[8]Feed!$F$5*1000/12</f>
        <v>134250</v>
      </c>
      <c r="I15" s="693">
        <f>[8]Feed!$F$5*1000/12</f>
        <v>134250</v>
      </c>
      <c r="J15" s="693">
        <f>[8]Feed!$F$5*1000/12</f>
        <v>134250</v>
      </c>
      <c r="K15" s="693">
        <f>[8]Feed!$F$5*1000/12</f>
        <v>134250</v>
      </c>
      <c r="L15" s="693">
        <f>[8]Feed!$F$5*1000/12</f>
        <v>134250</v>
      </c>
      <c r="M15" s="693">
        <f>[8]Feed!$F$5*1000/12</f>
        <v>134250</v>
      </c>
      <c r="N15" s="693">
        <f>[8]Feed!$F$5*1000/12</f>
        <v>134250</v>
      </c>
      <c r="O15" s="693">
        <f>[8]Feed!$F$5*1000/12</f>
        <v>134250</v>
      </c>
      <c r="P15" s="693">
        <f>[8]Feed!$F$5*1000/12</f>
        <v>134250</v>
      </c>
      <c r="Q15" s="693">
        <f>[8]Feed!$F$5*1000/12</f>
        <v>134250</v>
      </c>
      <c r="R15" s="693">
        <f>[8]Feed!$F$5*1000/12</f>
        <v>134250</v>
      </c>
      <c r="S15" s="693">
        <f>[8]Feed!$F$5*1000/12</f>
        <v>134250</v>
      </c>
      <c r="T15" s="694">
        <f>[8]Feed!$F$5*1000/12</f>
        <v>134250</v>
      </c>
      <c r="U15" s="693">
        <f>[8]Feed!$F$5*1000/12</f>
        <v>134250</v>
      </c>
      <c r="V15" s="694">
        <f>[8]Feed!$F$5*1000/12</f>
        <v>134250</v>
      </c>
      <c r="W15" s="693">
        <f>[8]Feed!$F$5*1000/12</f>
        <v>134250</v>
      </c>
      <c r="X15" s="694">
        <f>[8]Feed!$F$5*1000/12</f>
        <v>134250</v>
      </c>
      <c r="Y15" s="693">
        <f>[8]Feed!$F$5*1000/12</f>
        <v>134250</v>
      </c>
      <c r="Z15" s="694">
        <f>[8]Feed!$F$5*1000/12</f>
        <v>134250</v>
      </c>
      <c r="AA15" s="693">
        <f>[8]Feed!$F$5*1000/12</f>
        <v>134250</v>
      </c>
      <c r="AB15" s="694">
        <f>[8]Feed!$F$5*1000/12</f>
        <v>134250</v>
      </c>
      <c r="AC15" s="693">
        <f>[8]Feed!$F$5*1000/12</f>
        <v>134250</v>
      </c>
      <c r="AD15" s="694">
        <f>[8]Feed!$F$5*1000/12</f>
        <v>134250</v>
      </c>
      <c r="AE15" s="693">
        <f>[8]Feed!$F$5*1000/12</f>
        <v>134250</v>
      </c>
      <c r="AF15" s="694">
        <f>[8]Feed!$F$5*1000/12</f>
        <v>134250</v>
      </c>
      <c r="AG15" s="693">
        <f>[8]Feed!$F$5*1000/12</f>
        <v>134250</v>
      </c>
      <c r="AH15" s="694">
        <f>[8]Feed!$F$5*1000/12</f>
        <v>134250</v>
      </c>
      <c r="AI15" s="693">
        <f>[8]Feed!$F$5*1000/12</f>
        <v>134250</v>
      </c>
      <c r="AJ15" s="694">
        <f>[8]Feed!$F$5*1000/12</f>
        <v>134250</v>
      </c>
      <c r="AK15" s="693">
        <f>[8]Feed!$F$5*1000/12</f>
        <v>134250</v>
      </c>
      <c r="AL15" s="694">
        <f>[8]Feed!$F$5*1000/12</f>
        <v>134250</v>
      </c>
      <c r="AM15" s="693">
        <f>[8]Feed!$F$5*1000/12</f>
        <v>134250</v>
      </c>
      <c r="AN15" s="694">
        <f>[8]Feed!$F$5*1000/12</f>
        <v>134250</v>
      </c>
      <c r="AO15" s="693">
        <f>[8]Feed!$F$5*1000/12</f>
        <v>134250</v>
      </c>
      <c r="AP15" s="694">
        <f>[8]Feed!$F$5*1000/12</f>
        <v>134250</v>
      </c>
      <c r="AQ15" s="693">
        <f>[8]Feed!$F$5*1000/12</f>
        <v>134250</v>
      </c>
      <c r="AR15" s="694">
        <f>[8]Feed!$F$5*1000/12</f>
        <v>134250</v>
      </c>
      <c r="AS15" s="693">
        <f>[8]Feed!$F$5*1000/12</f>
        <v>134250</v>
      </c>
      <c r="AT15" s="694">
        <f>[8]Feed!$F$5*1000/12</f>
        <v>134250</v>
      </c>
      <c r="AU15" s="693">
        <f>[8]Feed!$F$5*1000/12</f>
        <v>134250</v>
      </c>
      <c r="AV15" s="693">
        <f>[8]Feed!$F$5*1000/12</f>
        <v>134250</v>
      </c>
      <c r="AW15" s="693">
        <f>[8]Feed!$F$5*1000/12</f>
        <v>134250</v>
      </c>
      <c r="AX15" s="693">
        <f>[8]Feed!$F$5*1000/12</f>
        <v>134250</v>
      </c>
      <c r="AY15" s="693">
        <f>[8]Feed!$F$5*1000/12</f>
        <v>134250</v>
      </c>
      <c r="AZ15" s="693">
        <f>[8]Feed!$F$5*1000/12</f>
        <v>134250</v>
      </c>
      <c r="BA15" s="693">
        <f>[8]Feed!$F$5*1000/12</f>
        <v>134250</v>
      </c>
      <c r="BB15" s="693">
        <f>[8]Feed!$F$5*1000/12</f>
        <v>134250</v>
      </c>
      <c r="BC15" s="693">
        <f>[8]Feed!$F$5*1000/12</f>
        <v>134250</v>
      </c>
      <c r="BD15" s="693">
        <f>[8]Feed!$F$5*1000/12</f>
        <v>134250</v>
      </c>
      <c r="BE15" s="693">
        <f>[8]Feed!$F$5*1000/12</f>
        <v>134250</v>
      </c>
      <c r="BF15" s="693">
        <f>[8]Feed!$F$5*1000/12</f>
        <v>134250</v>
      </c>
      <c r="BG15" s="693">
        <f>[8]Feed!$F$5*1000/12</f>
        <v>134250</v>
      </c>
      <c r="BH15" s="693">
        <f>[8]Feed!$F$5*1000/12</f>
        <v>134250</v>
      </c>
      <c r="BI15" s="693">
        <f>[8]Feed!$F$5*1000/12</f>
        <v>134250</v>
      </c>
      <c r="BJ15" s="693">
        <f>[8]Feed!$F$5*1000/12</f>
        <v>134250</v>
      </c>
      <c r="BK15" s="693">
        <f>[8]Feed!$F$5*1000/12</f>
        <v>134250</v>
      </c>
      <c r="BL15" s="693">
        <f>[8]Feed!$F$5*1000/12</f>
        <v>134250</v>
      </c>
      <c r="BM15" s="693">
        <f>[8]Feed!$F$5*1000/12</f>
        <v>134250</v>
      </c>
      <c r="BN15" s="693">
        <f>[8]Feed!$F$5*1000/12</f>
        <v>134250</v>
      </c>
      <c r="BO15" s="693">
        <f>[8]Feed!$F$5*1000/12</f>
        <v>134250</v>
      </c>
      <c r="BP15" s="693">
        <f>[8]Feed!$F$5*1000/12</f>
        <v>134250</v>
      </c>
      <c r="BQ15" s="693">
        <f>[8]Feed!$F$5*1000/12</f>
        <v>134250</v>
      </c>
      <c r="BR15" s="693">
        <f>[8]Feed!$F$5*1000/12</f>
        <v>134250</v>
      </c>
      <c r="BS15" s="693">
        <f>[8]Feed!$F$5*1000/12</f>
        <v>134250</v>
      </c>
      <c r="BT15" s="693">
        <f>[8]Feed!$F$5*1000/12</f>
        <v>134250</v>
      </c>
      <c r="BU15" s="693">
        <f>[8]Feed!$F$5*1000/12</f>
        <v>134250</v>
      </c>
      <c r="BV15" s="693">
        <f>[8]Feed!$F$5*1000/12</f>
        <v>134250</v>
      </c>
      <c r="BW15" s="693">
        <f>[8]Feed!$F$5*1000/12</f>
        <v>134250</v>
      </c>
      <c r="BX15" s="693">
        <f>[8]Feed!$F$5*1000/12</f>
        <v>134250</v>
      </c>
      <c r="BY15" s="693">
        <f>[8]Feed!$F$5*1000/12</f>
        <v>134250</v>
      </c>
      <c r="BZ15" s="693">
        <f>[8]Feed!$F$5*1000/12</f>
        <v>134250</v>
      </c>
      <c r="CA15" s="693">
        <f>[8]Feed!$F$5*1000/12</f>
        <v>134250</v>
      </c>
      <c r="CB15" s="693">
        <f>[8]Feed!$F$5*1000/12</f>
        <v>134250</v>
      </c>
      <c r="CC15" s="693">
        <f>[8]Feed!$F$5*1000/12</f>
        <v>134250</v>
      </c>
      <c r="CD15" s="693">
        <f>[8]Feed!$F$5*1000/12</f>
        <v>134250</v>
      </c>
      <c r="CE15" s="693">
        <f>[8]Feed!$F$5*1000/12</f>
        <v>134250</v>
      </c>
      <c r="CF15" s="693">
        <f>[8]Feed!$F$5*1000/12</f>
        <v>134250</v>
      </c>
      <c r="CG15" s="693">
        <f>[8]Feed!$F$5*1000/12</f>
        <v>134250</v>
      </c>
      <c r="CH15" s="693">
        <f>[8]Feed!$F$5*1000/12</f>
        <v>134250</v>
      </c>
      <c r="CI15" s="693">
        <f>[8]Feed!$F$5*1000/12</f>
        <v>134250</v>
      </c>
      <c r="CJ15" s="693">
        <f>[8]Feed!$F$5*1000/12</f>
        <v>134250</v>
      </c>
      <c r="CK15" s="693">
        <f>[8]Feed!$F$5*1000/12</f>
        <v>134250</v>
      </c>
      <c r="CL15" s="695">
        <f>[8]Feed!$F$5*1000/12</f>
        <v>134250</v>
      </c>
      <c r="CM15" s="685">
        <f t="shared" si="0"/>
        <v>134250</v>
      </c>
      <c r="CN15" s="245"/>
      <c r="CO15" s="245"/>
      <c r="CP15" s="245"/>
      <c r="CQ15" s="245"/>
      <c r="CR15" s="245"/>
      <c r="CS15" s="245"/>
      <c r="CT15" s="245"/>
      <c r="CU15" s="245"/>
      <c r="CV15" s="245"/>
      <c r="CW15" s="245"/>
      <c r="CX15" s="245"/>
      <c r="CY15" s="245"/>
      <c r="CZ15" s="245"/>
      <c r="DA15" s="245"/>
      <c r="DB15" s="245"/>
      <c r="DC15" s="245"/>
      <c r="DD15" s="245"/>
      <c r="DE15" s="245"/>
      <c r="DF15" s="245"/>
      <c r="DG15" s="245"/>
      <c r="DH15" s="245"/>
      <c r="DI15" s="245"/>
      <c r="DJ15" s="245"/>
      <c r="DK15" s="245"/>
      <c r="DL15" s="245"/>
      <c r="DM15" s="245"/>
      <c r="DN15" s="245"/>
      <c r="DO15" s="245"/>
      <c r="DP15" s="245"/>
      <c r="DQ15" s="245"/>
      <c r="DR15" s="245"/>
      <c r="DS15" s="245"/>
      <c r="DT15" s="245"/>
      <c r="DU15" s="245"/>
      <c r="DV15" s="245"/>
      <c r="DW15" s="245"/>
      <c r="DX15" s="245"/>
      <c r="DY15" s="245"/>
      <c r="DZ15" s="245"/>
      <c r="EA15" s="245"/>
      <c r="EB15" s="245"/>
      <c r="EC15" s="245"/>
      <c r="ED15" s="245"/>
      <c r="EE15" s="245"/>
      <c r="EF15" s="245"/>
      <c r="EG15" s="245"/>
      <c r="EH15" s="245"/>
      <c r="EI15" s="245"/>
      <c r="EJ15" s="245"/>
      <c r="EK15" s="245"/>
      <c r="EL15" s="245"/>
      <c r="EM15" s="245"/>
      <c r="EN15" s="245"/>
      <c r="EO15" s="245"/>
      <c r="EP15" s="245"/>
      <c r="EQ15" s="245"/>
      <c r="ER15" s="245"/>
      <c r="ES15" s="245"/>
      <c r="ET15" s="245"/>
      <c r="EU15" s="245"/>
      <c r="EV15" s="245"/>
      <c r="EW15" s="245"/>
      <c r="EX15" s="245"/>
      <c r="EY15" s="245"/>
      <c r="EZ15" s="245"/>
      <c r="FA15" s="245"/>
      <c r="FB15" s="245"/>
      <c r="FC15" s="245"/>
      <c r="FD15" s="245"/>
      <c r="FE15" s="245"/>
      <c r="FF15" s="245"/>
      <c r="FG15" s="245"/>
      <c r="FH15" s="245"/>
      <c r="FI15" s="245"/>
      <c r="FJ15" s="245"/>
      <c r="FK15" s="245"/>
      <c r="FL15" s="245"/>
      <c r="FM15" s="245"/>
      <c r="FN15" s="245"/>
      <c r="FO15" s="245"/>
      <c r="FP15" s="245"/>
      <c r="FQ15" s="245"/>
      <c r="FR15" s="245"/>
      <c r="FS15" s="245"/>
      <c r="FT15" s="245"/>
      <c r="FU15" s="245"/>
      <c r="FV15" s="245"/>
    </row>
    <row r="16" spans="1:178">
      <c r="A16" s="1040" t="s">
        <v>315</v>
      </c>
      <c r="B16" s="632" t="s">
        <v>312</v>
      </c>
      <c r="C16" s="633" t="s">
        <v>313</v>
      </c>
      <c r="D16" s="633"/>
      <c r="E16" s="1043" t="s">
        <v>316</v>
      </c>
      <c r="F16" s="696" t="s">
        <v>146</v>
      </c>
      <c r="G16" s="697">
        <f>G12*'[8]Cracker Yields'!$H$3+'[8]Cracker Yields'!$I$3*'Financial Model (84 Months)'!G13+'Financial Model (84 Months)'!G14*'[8]Cracker Yields'!$J$3+'[8]Cracker Yields'!$K$3*'Financial Model (84 Months)'!G15</f>
        <v>110689</v>
      </c>
      <c r="H16" s="697">
        <f>H12*'[8]Cracker Yields'!$H$3+'[8]Cracker Yields'!$I$3*'Financial Model (84 Months)'!H13+'Financial Model (84 Months)'!H14*'[8]Cracker Yields'!$J$3+'[8]Cracker Yields'!$K$3*'Financial Model (84 Months)'!H15</f>
        <v>110689</v>
      </c>
      <c r="I16" s="697">
        <f>I12*'[8]Cracker Yields'!$H$3+'[8]Cracker Yields'!$I$3*'Financial Model (84 Months)'!I13+'Financial Model (84 Months)'!I14*'[8]Cracker Yields'!$J$3+'[8]Cracker Yields'!$K$3*'Financial Model (84 Months)'!I15</f>
        <v>110689</v>
      </c>
      <c r="J16" s="697">
        <f>J12*'[8]Cracker Yields'!$H$3+'[8]Cracker Yields'!$I$3*'Financial Model (84 Months)'!J13+'Financial Model (84 Months)'!J14*'[8]Cracker Yields'!$J$3+'[8]Cracker Yields'!$K$3*'Financial Model (84 Months)'!J15</f>
        <v>110689</v>
      </c>
      <c r="K16" s="697">
        <f>K12*'[8]Cracker Yields'!$H$3+'[8]Cracker Yields'!$I$3*'Financial Model (84 Months)'!K13+'Financial Model (84 Months)'!K14*'[8]Cracker Yields'!$J$3+'[8]Cracker Yields'!$K$3*'Financial Model (84 Months)'!K15</f>
        <v>110689</v>
      </c>
      <c r="L16" s="697">
        <f>L12*'[8]Cracker Yields'!$H$3+'[8]Cracker Yields'!$I$3*'Financial Model (84 Months)'!L13+'Financial Model (84 Months)'!L14*'[8]Cracker Yields'!$J$3+'[8]Cracker Yields'!$K$3*'Financial Model (84 Months)'!L15</f>
        <v>110689</v>
      </c>
      <c r="M16" s="697">
        <f>M12*'[8]Cracker Yields'!$H$3+'[8]Cracker Yields'!$I$3*'Financial Model (84 Months)'!M13+'Financial Model (84 Months)'!M14*'[8]Cracker Yields'!$J$3+'[8]Cracker Yields'!$K$3*'Financial Model (84 Months)'!M15</f>
        <v>110689</v>
      </c>
      <c r="N16" s="697">
        <f>N12*'[8]Cracker Yields'!$H$3+'[8]Cracker Yields'!$I$3*'Financial Model (84 Months)'!N13+'Financial Model (84 Months)'!N14*'[8]Cracker Yields'!$J$3+'[8]Cracker Yields'!$K$3*'Financial Model (84 Months)'!N15</f>
        <v>110689</v>
      </c>
      <c r="O16" s="697">
        <f>O12*'[8]Cracker Yields'!$H$3+'[8]Cracker Yields'!$I$3*'Financial Model (84 Months)'!O13+'Financial Model (84 Months)'!O14*'[8]Cracker Yields'!$J$3+'[8]Cracker Yields'!$K$3*'Financial Model (84 Months)'!O15</f>
        <v>110689</v>
      </c>
      <c r="P16" s="697">
        <f>P12*'[8]Cracker Yields'!$H$3+'[8]Cracker Yields'!$I$3*'Financial Model (84 Months)'!P13+'Financial Model (84 Months)'!P14*'[8]Cracker Yields'!$J$3+'[8]Cracker Yields'!$K$3*'Financial Model (84 Months)'!P15</f>
        <v>110689</v>
      </c>
      <c r="Q16" s="697">
        <f>Q12*'[8]Cracker Yields'!$H$3+'[8]Cracker Yields'!$I$3*'Financial Model (84 Months)'!Q13+'Financial Model (84 Months)'!Q14*'[8]Cracker Yields'!$J$3+'[8]Cracker Yields'!$K$3*'Financial Model (84 Months)'!Q15</f>
        <v>110689</v>
      </c>
      <c r="R16" s="697">
        <f>R12*'[8]Cracker Yields'!$H$3+'[8]Cracker Yields'!$I$3*'Financial Model (84 Months)'!R13+'Financial Model (84 Months)'!R14*'[8]Cracker Yields'!$J$3+'[8]Cracker Yields'!$K$3*'Financial Model (84 Months)'!R15</f>
        <v>110689</v>
      </c>
      <c r="S16" s="697">
        <f>S12*'[8]Cracker Yields'!$H$3+'[8]Cracker Yields'!$I$3*'Financial Model (84 Months)'!S13+'Financial Model (84 Months)'!S14*'[8]Cracker Yields'!$J$3+'[8]Cracker Yields'!$K$3*'Financial Model (84 Months)'!S15</f>
        <v>110689</v>
      </c>
      <c r="T16" s="698">
        <f>T12*'[8]Cracker Yields'!$H$3+'[8]Cracker Yields'!$I$3*'Financial Model (84 Months)'!T13+'Financial Model (84 Months)'!T14*'[8]Cracker Yields'!$J$3+'[8]Cracker Yields'!$K$3*'Financial Model (84 Months)'!T15</f>
        <v>110689</v>
      </c>
      <c r="U16" s="697">
        <f>U12*'[8]Cracker Yields'!$H$3+'[8]Cracker Yields'!$I$3*'Financial Model (84 Months)'!U13+'Financial Model (84 Months)'!U14*'[8]Cracker Yields'!$J$3+'[8]Cracker Yields'!$K$3*'Financial Model (84 Months)'!U15</f>
        <v>110689</v>
      </c>
      <c r="V16" s="698">
        <f>V12*'[8]Cracker Yields'!$H$3+'[8]Cracker Yields'!$I$3*'Financial Model (84 Months)'!V13+'Financial Model (84 Months)'!V14*'[8]Cracker Yields'!$J$3+'[8]Cracker Yields'!$K$3*'Financial Model (84 Months)'!V15</f>
        <v>110689</v>
      </c>
      <c r="W16" s="697">
        <f>W12*'[8]Cracker Yields'!$H$3+'[8]Cracker Yields'!$I$3*'Financial Model (84 Months)'!W13+'Financial Model (84 Months)'!W14*'[8]Cracker Yields'!$J$3+'[8]Cracker Yields'!$K$3*'Financial Model (84 Months)'!W15</f>
        <v>110689</v>
      </c>
      <c r="X16" s="698">
        <f>X12*'[8]Cracker Yields'!$H$3+'[8]Cracker Yields'!$I$3*'Financial Model (84 Months)'!X13+'Financial Model (84 Months)'!X14*'[8]Cracker Yields'!$J$3+'[8]Cracker Yields'!$K$3*'Financial Model (84 Months)'!X15</f>
        <v>110689</v>
      </c>
      <c r="Y16" s="697">
        <f>Y12*'[8]Cracker Yields'!$H$3+'[8]Cracker Yields'!$I$3*'Financial Model (84 Months)'!Y13+'Financial Model (84 Months)'!Y14*'[8]Cracker Yields'!$J$3+'[8]Cracker Yields'!$K$3*'Financial Model (84 Months)'!Y15</f>
        <v>110689</v>
      </c>
      <c r="Z16" s="698">
        <f>Z12*'[8]Cracker Yields'!$H$3+'[8]Cracker Yields'!$I$3*'Financial Model (84 Months)'!Z13+'Financial Model (84 Months)'!Z14*'[8]Cracker Yields'!$J$3+'[8]Cracker Yields'!$K$3*'Financial Model (84 Months)'!Z15</f>
        <v>110689</v>
      </c>
      <c r="AA16" s="697">
        <f>AA12*'[8]Cracker Yields'!$H$3+'[8]Cracker Yields'!$I$3*'Financial Model (84 Months)'!AA13+'Financial Model (84 Months)'!AA14*'[8]Cracker Yields'!$J$3+'[8]Cracker Yields'!$K$3*'Financial Model (84 Months)'!AA15</f>
        <v>110689</v>
      </c>
      <c r="AB16" s="698">
        <f>AB12*'[8]Cracker Yields'!$H$3+'[8]Cracker Yields'!$I$3*'Financial Model (84 Months)'!AB13+'Financial Model (84 Months)'!AB14*'[8]Cracker Yields'!$J$3+'[8]Cracker Yields'!$K$3*'Financial Model (84 Months)'!AB15</f>
        <v>110689</v>
      </c>
      <c r="AC16" s="697">
        <f>AC12*'[8]Cracker Yields'!$H$3+'[8]Cracker Yields'!$I$3*'Financial Model (84 Months)'!AC13+'Financial Model (84 Months)'!AC14*'[8]Cracker Yields'!$J$3+'[8]Cracker Yields'!$K$3*'Financial Model (84 Months)'!AC15</f>
        <v>110689</v>
      </c>
      <c r="AD16" s="698">
        <f>AD12*'[8]Cracker Yields'!$H$3+'[8]Cracker Yields'!$I$3*'Financial Model (84 Months)'!AD13+'Financial Model (84 Months)'!AD14*'[8]Cracker Yields'!$J$3+'[8]Cracker Yields'!$K$3*'Financial Model (84 Months)'!AD15</f>
        <v>110689</v>
      </c>
      <c r="AE16" s="697">
        <f>AE12*'[8]Cracker Yields'!$H$3+'[8]Cracker Yields'!$I$3*'Financial Model (84 Months)'!AE13+'Financial Model (84 Months)'!AE14*'[8]Cracker Yields'!$J$3+'[8]Cracker Yields'!$K$3*'Financial Model (84 Months)'!AE15</f>
        <v>110689</v>
      </c>
      <c r="AF16" s="698">
        <f>AF12*'[8]Cracker Yields'!$H$3+'[8]Cracker Yields'!$I$3*'Financial Model (84 Months)'!AF13+'Financial Model (84 Months)'!AF14*'[8]Cracker Yields'!$J$3+'[8]Cracker Yields'!$K$3*'Financial Model (84 Months)'!AF15</f>
        <v>110689</v>
      </c>
      <c r="AG16" s="697">
        <f>AG12*'[8]Cracker Yields'!$H$3+'[8]Cracker Yields'!$I$3*'Financial Model (84 Months)'!AG13+'Financial Model (84 Months)'!AG14*'[8]Cracker Yields'!$J$3+'[8]Cracker Yields'!$K$3*'Financial Model (84 Months)'!AG15</f>
        <v>110689</v>
      </c>
      <c r="AH16" s="698">
        <f>AH12*'[8]Cracker Yields'!$H$3+'[8]Cracker Yields'!$I$3*'Financial Model (84 Months)'!AH13+'Financial Model (84 Months)'!AH14*'[8]Cracker Yields'!$J$3+'[8]Cracker Yields'!$K$3*'Financial Model (84 Months)'!AH15</f>
        <v>110689</v>
      </c>
      <c r="AI16" s="697">
        <f>AI12*'[8]Cracker Yields'!$H$3+'[8]Cracker Yields'!$I$3*'Financial Model (84 Months)'!AI13+'Financial Model (84 Months)'!AI14*'[8]Cracker Yields'!$J$3+'[8]Cracker Yields'!$K$3*'Financial Model (84 Months)'!AI15</f>
        <v>110689</v>
      </c>
      <c r="AJ16" s="698">
        <f>AJ12*'[8]Cracker Yields'!$H$3+'[8]Cracker Yields'!$I$3*'Financial Model (84 Months)'!AJ13+'Financial Model (84 Months)'!AJ14*'[8]Cracker Yields'!$J$3+'[8]Cracker Yields'!$K$3*'Financial Model (84 Months)'!AJ15</f>
        <v>110689</v>
      </c>
      <c r="AK16" s="697">
        <f>AK12*'[8]Cracker Yields'!$H$3+'[8]Cracker Yields'!$I$3*'Financial Model (84 Months)'!AK13+'Financial Model (84 Months)'!AK14*'[8]Cracker Yields'!$J$3+'[8]Cracker Yields'!$K$3*'Financial Model (84 Months)'!AK15</f>
        <v>110689</v>
      </c>
      <c r="AL16" s="698">
        <f>AL12*'[8]Cracker Yields'!$H$3+'[8]Cracker Yields'!$I$3*'Financial Model (84 Months)'!AL13+'Financial Model (84 Months)'!AL14*'[8]Cracker Yields'!$J$3+'[8]Cracker Yields'!$K$3*'Financial Model (84 Months)'!AL15</f>
        <v>110689</v>
      </c>
      <c r="AM16" s="697">
        <f>AM12*'[8]Cracker Yields'!$H$3+'[8]Cracker Yields'!$I$3*'Financial Model (84 Months)'!AM13+'Financial Model (84 Months)'!AM14*'[8]Cracker Yields'!$J$3+'[8]Cracker Yields'!$K$3*'Financial Model (84 Months)'!AM15</f>
        <v>110689</v>
      </c>
      <c r="AN16" s="698">
        <f>AN12*'[8]Cracker Yields'!$H$3+'[8]Cracker Yields'!$I$3*'Financial Model (84 Months)'!AN13+'Financial Model (84 Months)'!AN14*'[8]Cracker Yields'!$J$3+'[8]Cracker Yields'!$K$3*'Financial Model (84 Months)'!AN15</f>
        <v>110689</v>
      </c>
      <c r="AO16" s="697">
        <f>AO12*'[8]Cracker Yields'!$H$3+'[8]Cracker Yields'!$I$3*'Financial Model (84 Months)'!AO13+'Financial Model (84 Months)'!AO14*'[8]Cracker Yields'!$J$3+'[8]Cracker Yields'!$K$3*'Financial Model (84 Months)'!AO15</f>
        <v>110689</v>
      </c>
      <c r="AP16" s="698">
        <f>AP12*'[8]Cracker Yields'!$H$3+'[8]Cracker Yields'!$I$3*'Financial Model (84 Months)'!AP13+'Financial Model (84 Months)'!AP14*'[8]Cracker Yields'!$J$3+'[8]Cracker Yields'!$K$3*'Financial Model (84 Months)'!AP15</f>
        <v>110689</v>
      </c>
      <c r="AQ16" s="697">
        <f>AQ12*'[8]Cracker Yields'!$H$3+'[8]Cracker Yields'!$I$3*'Financial Model (84 Months)'!AQ13+'Financial Model (84 Months)'!AQ14*'[8]Cracker Yields'!$J$3+'[8]Cracker Yields'!$K$3*'Financial Model (84 Months)'!AQ15</f>
        <v>110689</v>
      </c>
      <c r="AR16" s="698">
        <f>AR12*'[8]Cracker Yields'!$H$3+'[8]Cracker Yields'!$I$3*'Financial Model (84 Months)'!AR13+'Financial Model (84 Months)'!AR14*'[8]Cracker Yields'!$J$3+'[8]Cracker Yields'!$K$3*'Financial Model (84 Months)'!AR15</f>
        <v>110689</v>
      </c>
      <c r="AS16" s="697">
        <f>AS12*'[8]Cracker Yields'!$H$3+'[8]Cracker Yields'!$I$3*'Financial Model (84 Months)'!AS13+'Financial Model (84 Months)'!AS14*'[8]Cracker Yields'!$J$3+'[8]Cracker Yields'!$K$3*'Financial Model (84 Months)'!AS15</f>
        <v>110689</v>
      </c>
      <c r="AT16" s="698">
        <f>AT12*'[8]Cracker Yields'!$H$3+'[8]Cracker Yields'!$I$3*'Financial Model (84 Months)'!AT13+'Financial Model (84 Months)'!AT14*'[8]Cracker Yields'!$J$3+'[8]Cracker Yields'!$K$3*'Financial Model (84 Months)'!AT15</f>
        <v>110689</v>
      </c>
      <c r="AU16" s="697">
        <f>AU12*'[8]Cracker Yields'!$H$3+'[8]Cracker Yields'!$I$3*'Financial Model (84 Months)'!AU13+'Financial Model (84 Months)'!AU14*'[8]Cracker Yields'!$J$3+'[8]Cracker Yields'!$K$3*'Financial Model (84 Months)'!AU15</f>
        <v>110689</v>
      </c>
      <c r="AV16" s="697">
        <f>AV12*'[8]Cracker Yields'!$H$3+'[8]Cracker Yields'!$I$3*'Financial Model (84 Months)'!AV13+'Financial Model (84 Months)'!AV14*'[8]Cracker Yields'!$J$3+'[8]Cracker Yields'!$K$3*'Financial Model (84 Months)'!AV15</f>
        <v>110689</v>
      </c>
      <c r="AW16" s="697">
        <f>AW12*'[8]Cracker Yields'!$H$3+'[8]Cracker Yields'!$I$3*'Financial Model (84 Months)'!AW13+'Financial Model (84 Months)'!AW14*'[8]Cracker Yields'!$J$3+'[8]Cracker Yields'!$K$3*'Financial Model (84 Months)'!AW15</f>
        <v>110689</v>
      </c>
      <c r="AX16" s="697">
        <f>AX12*'[8]Cracker Yields'!$H$3+'[8]Cracker Yields'!$I$3*'Financial Model (84 Months)'!AX13+'Financial Model (84 Months)'!AX14*'[8]Cracker Yields'!$J$3+'[8]Cracker Yields'!$K$3*'Financial Model (84 Months)'!AX15</f>
        <v>110689</v>
      </c>
      <c r="AY16" s="697">
        <f>AY12*'[8]Cracker Yields'!$H$3+'[8]Cracker Yields'!$I$3*'Financial Model (84 Months)'!AY13+'Financial Model (84 Months)'!AY14*'[8]Cracker Yields'!$J$3+'[8]Cracker Yields'!$K$3*'Financial Model (84 Months)'!AY15</f>
        <v>110689</v>
      </c>
      <c r="AZ16" s="697">
        <f>AZ12*'[8]Cracker Yields'!$H$3+'[8]Cracker Yields'!$I$3*'Financial Model (84 Months)'!AZ13+'Financial Model (84 Months)'!AZ14*'[8]Cracker Yields'!$J$3+'[8]Cracker Yields'!$K$3*'Financial Model (84 Months)'!AZ15</f>
        <v>110689</v>
      </c>
      <c r="BA16" s="697">
        <f>BA12*'[8]Cracker Yields'!$H$3+'[8]Cracker Yields'!$I$3*'Financial Model (84 Months)'!BA13+'Financial Model (84 Months)'!BA14*'[8]Cracker Yields'!$J$3+'[8]Cracker Yields'!$K$3*'Financial Model (84 Months)'!BA15</f>
        <v>110689</v>
      </c>
      <c r="BB16" s="697">
        <f>BB12*'[8]Cracker Yields'!$H$3+'[8]Cracker Yields'!$I$3*'Financial Model (84 Months)'!BB13+'Financial Model (84 Months)'!BB14*'[8]Cracker Yields'!$J$3+'[8]Cracker Yields'!$K$3*'Financial Model (84 Months)'!BB15</f>
        <v>110689</v>
      </c>
      <c r="BC16" s="697">
        <f>BC12*'[8]Cracker Yields'!$H$3+'[8]Cracker Yields'!$I$3*'Financial Model (84 Months)'!BC13+'Financial Model (84 Months)'!BC14*'[8]Cracker Yields'!$J$3+'[8]Cracker Yields'!$K$3*'Financial Model (84 Months)'!BC15</f>
        <v>110689</v>
      </c>
      <c r="BD16" s="697">
        <f>BD12*'[8]Cracker Yields'!$H$3+'[8]Cracker Yields'!$I$3*'Financial Model (84 Months)'!BD13+'Financial Model (84 Months)'!BD14*'[8]Cracker Yields'!$J$3+'[8]Cracker Yields'!$K$3*'Financial Model (84 Months)'!BD15</f>
        <v>110689</v>
      </c>
      <c r="BE16" s="697">
        <f>BE12*'[8]Cracker Yields'!$H$3+'[8]Cracker Yields'!$I$3*'Financial Model (84 Months)'!BE13+'Financial Model (84 Months)'!BE14*'[8]Cracker Yields'!$J$3+'[8]Cracker Yields'!$K$3*'Financial Model (84 Months)'!BE15</f>
        <v>110689</v>
      </c>
      <c r="BF16" s="697">
        <f>BF12*'[8]Cracker Yields'!$H$3+'[8]Cracker Yields'!$I$3*'Financial Model (84 Months)'!BF13+'Financial Model (84 Months)'!BF14*'[8]Cracker Yields'!$J$3+'[8]Cracker Yields'!$K$3*'Financial Model (84 Months)'!BF15</f>
        <v>110689</v>
      </c>
      <c r="BG16" s="697">
        <f>BG12*'[8]Cracker Yields'!$H$3+'[8]Cracker Yields'!$I$3*'Financial Model (84 Months)'!BG13+'Financial Model (84 Months)'!BG14*'[8]Cracker Yields'!$J$3+'[8]Cracker Yields'!$K$3*'Financial Model (84 Months)'!BG15</f>
        <v>110689</v>
      </c>
      <c r="BH16" s="697">
        <f>BH12*'[8]Cracker Yields'!$H$3+'[8]Cracker Yields'!$I$3*'Financial Model (84 Months)'!BH13+'Financial Model (84 Months)'!BH14*'[8]Cracker Yields'!$J$3+'[8]Cracker Yields'!$K$3*'Financial Model (84 Months)'!BH15</f>
        <v>110689</v>
      </c>
      <c r="BI16" s="697">
        <f>BI12*'[8]Cracker Yields'!$H$3+'[8]Cracker Yields'!$I$3*'Financial Model (84 Months)'!BI13+'Financial Model (84 Months)'!BI14*'[8]Cracker Yields'!$J$3+'[8]Cracker Yields'!$K$3*'Financial Model (84 Months)'!BI15</f>
        <v>110689</v>
      </c>
      <c r="BJ16" s="697">
        <f>BJ12*'[8]Cracker Yields'!$H$3+'[8]Cracker Yields'!$I$3*'Financial Model (84 Months)'!BJ13+'Financial Model (84 Months)'!BJ14*'[8]Cracker Yields'!$J$3+'[8]Cracker Yields'!$K$3*'Financial Model (84 Months)'!BJ15</f>
        <v>110689</v>
      </c>
      <c r="BK16" s="697">
        <f>BK12*'[8]Cracker Yields'!$H$3+'[8]Cracker Yields'!$I$3*'Financial Model (84 Months)'!BK13+'Financial Model (84 Months)'!BK14*'[8]Cracker Yields'!$J$3+'[8]Cracker Yields'!$K$3*'Financial Model (84 Months)'!BK15</f>
        <v>110689</v>
      </c>
      <c r="BL16" s="697">
        <f>BL12*'[8]Cracker Yields'!$H$3+'[8]Cracker Yields'!$I$3*'Financial Model (84 Months)'!BL13+'Financial Model (84 Months)'!BL14*'[8]Cracker Yields'!$J$3+'[8]Cracker Yields'!$K$3*'Financial Model (84 Months)'!BL15</f>
        <v>110689</v>
      </c>
      <c r="BM16" s="697">
        <f>BM12*'[8]Cracker Yields'!$H$3+'[8]Cracker Yields'!$I$3*'Financial Model (84 Months)'!BM13+'Financial Model (84 Months)'!BM14*'[8]Cracker Yields'!$J$3+'[8]Cracker Yields'!$K$3*'Financial Model (84 Months)'!BM15</f>
        <v>110689</v>
      </c>
      <c r="BN16" s="697">
        <f>BN12*'[8]Cracker Yields'!$H$3+'[8]Cracker Yields'!$I$3*'Financial Model (84 Months)'!BN13+'Financial Model (84 Months)'!BN14*'[8]Cracker Yields'!$J$3+'[8]Cracker Yields'!$K$3*'Financial Model (84 Months)'!BN15</f>
        <v>110689</v>
      </c>
      <c r="BO16" s="697">
        <f>BO12*'[8]Cracker Yields'!$H$3+'[8]Cracker Yields'!$I$3*'Financial Model (84 Months)'!BO13+'Financial Model (84 Months)'!BO14*'[8]Cracker Yields'!$J$3+'[8]Cracker Yields'!$K$3*'Financial Model (84 Months)'!BO15</f>
        <v>110689</v>
      </c>
      <c r="BP16" s="697">
        <f>BP12*'[8]Cracker Yields'!$H$3+'[8]Cracker Yields'!$I$3*'Financial Model (84 Months)'!BP13+'Financial Model (84 Months)'!BP14*'[8]Cracker Yields'!$J$3+'[8]Cracker Yields'!$K$3*'Financial Model (84 Months)'!BP15</f>
        <v>110689</v>
      </c>
      <c r="BQ16" s="697">
        <f>BQ12*'[8]Cracker Yields'!$H$3+'[8]Cracker Yields'!$I$3*'Financial Model (84 Months)'!BQ13+'Financial Model (84 Months)'!BQ14*'[8]Cracker Yields'!$J$3+'[8]Cracker Yields'!$K$3*'Financial Model (84 Months)'!BQ15</f>
        <v>110689</v>
      </c>
      <c r="BR16" s="697">
        <f>BR12*'[8]Cracker Yields'!$H$3+'[8]Cracker Yields'!$I$3*'Financial Model (84 Months)'!BR13+'Financial Model (84 Months)'!BR14*'[8]Cracker Yields'!$J$3+'[8]Cracker Yields'!$K$3*'Financial Model (84 Months)'!BR15</f>
        <v>110689</v>
      </c>
      <c r="BS16" s="697">
        <f>BS12*'[8]Cracker Yields'!$H$3+'[8]Cracker Yields'!$I$3*'Financial Model (84 Months)'!BS13+'Financial Model (84 Months)'!BS14*'[8]Cracker Yields'!$J$3+'[8]Cracker Yields'!$K$3*'Financial Model (84 Months)'!BS15</f>
        <v>110689</v>
      </c>
      <c r="BT16" s="697">
        <f>BT12*'[8]Cracker Yields'!$H$3+'[8]Cracker Yields'!$I$3*'Financial Model (84 Months)'!BT13+'Financial Model (84 Months)'!BT14*'[8]Cracker Yields'!$J$3+'[8]Cracker Yields'!$K$3*'Financial Model (84 Months)'!BT15</f>
        <v>110689</v>
      </c>
      <c r="BU16" s="697">
        <f>BU12*'[8]Cracker Yields'!$H$3+'[8]Cracker Yields'!$I$3*'Financial Model (84 Months)'!BU13+'Financial Model (84 Months)'!BU14*'[8]Cracker Yields'!$J$3+'[8]Cracker Yields'!$K$3*'Financial Model (84 Months)'!BU15</f>
        <v>110689</v>
      </c>
      <c r="BV16" s="697">
        <f>BV12*'[8]Cracker Yields'!$H$3+'[8]Cracker Yields'!$I$3*'Financial Model (84 Months)'!BV13+'Financial Model (84 Months)'!BV14*'[8]Cracker Yields'!$J$3+'[8]Cracker Yields'!$K$3*'Financial Model (84 Months)'!BV15</f>
        <v>110689</v>
      </c>
      <c r="BW16" s="697">
        <f>BW12*'[8]Cracker Yields'!$H$3+'[8]Cracker Yields'!$I$3*'Financial Model (84 Months)'!BW13+'Financial Model (84 Months)'!BW14*'[8]Cracker Yields'!$J$3+'[8]Cracker Yields'!$K$3*'Financial Model (84 Months)'!BW15</f>
        <v>110689</v>
      </c>
      <c r="BX16" s="697">
        <f>BX12*'[8]Cracker Yields'!$H$3+'[8]Cracker Yields'!$I$3*'Financial Model (84 Months)'!BX13+'Financial Model (84 Months)'!BX14*'[8]Cracker Yields'!$J$3+'[8]Cracker Yields'!$K$3*'Financial Model (84 Months)'!BX15</f>
        <v>110689</v>
      </c>
      <c r="BY16" s="697">
        <f>BY12*'[8]Cracker Yields'!$H$3+'[8]Cracker Yields'!$I$3*'Financial Model (84 Months)'!BY13+'Financial Model (84 Months)'!BY14*'[8]Cracker Yields'!$J$3+'[8]Cracker Yields'!$K$3*'Financial Model (84 Months)'!BY15</f>
        <v>110689</v>
      </c>
      <c r="BZ16" s="697">
        <f>BZ12*'[8]Cracker Yields'!$H$3+'[8]Cracker Yields'!$I$3*'Financial Model (84 Months)'!BZ13+'Financial Model (84 Months)'!BZ14*'[8]Cracker Yields'!$J$3+'[8]Cracker Yields'!$K$3*'Financial Model (84 Months)'!BZ15</f>
        <v>110689</v>
      </c>
      <c r="CA16" s="697">
        <f>CA12*'[8]Cracker Yields'!$H$3+'[8]Cracker Yields'!$I$3*'Financial Model (84 Months)'!CA13+'Financial Model (84 Months)'!CA14*'[8]Cracker Yields'!$J$3+'[8]Cracker Yields'!$K$3*'Financial Model (84 Months)'!CA15</f>
        <v>110689</v>
      </c>
      <c r="CB16" s="697">
        <f>CB12*'[8]Cracker Yields'!$H$3+'[8]Cracker Yields'!$I$3*'Financial Model (84 Months)'!CB13+'Financial Model (84 Months)'!CB14*'[8]Cracker Yields'!$J$3+'[8]Cracker Yields'!$K$3*'Financial Model (84 Months)'!CB15</f>
        <v>110689</v>
      </c>
      <c r="CC16" s="697">
        <f>CC12*'[8]Cracker Yields'!$H$3+'[8]Cracker Yields'!$I$3*'Financial Model (84 Months)'!CC13+'Financial Model (84 Months)'!CC14*'[8]Cracker Yields'!$J$3+'[8]Cracker Yields'!$K$3*'Financial Model (84 Months)'!CC15</f>
        <v>110689</v>
      </c>
      <c r="CD16" s="697">
        <f>CD12*'[8]Cracker Yields'!$H$3+'[8]Cracker Yields'!$I$3*'Financial Model (84 Months)'!CD13+'Financial Model (84 Months)'!CD14*'[8]Cracker Yields'!$J$3+'[8]Cracker Yields'!$K$3*'Financial Model (84 Months)'!CD15</f>
        <v>110689</v>
      </c>
      <c r="CE16" s="697">
        <f>CE12*'[8]Cracker Yields'!$H$3+'[8]Cracker Yields'!$I$3*'Financial Model (84 Months)'!CE13+'Financial Model (84 Months)'!CE14*'[8]Cracker Yields'!$J$3+'[8]Cracker Yields'!$K$3*'Financial Model (84 Months)'!CE15</f>
        <v>110689</v>
      </c>
      <c r="CF16" s="697">
        <f>CF12*'[8]Cracker Yields'!$H$3+'[8]Cracker Yields'!$I$3*'Financial Model (84 Months)'!CF13+'Financial Model (84 Months)'!CF14*'[8]Cracker Yields'!$J$3+'[8]Cracker Yields'!$K$3*'Financial Model (84 Months)'!CF15</f>
        <v>110689</v>
      </c>
      <c r="CG16" s="697">
        <f>CG12*'[8]Cracker Yields'!$H$3+'[8]Cracker Yields'!$I$3*'Financial Model (84 Months)'!CG13+'Financial Model (84 Months)'!CG14*'[8]Cracker Yields'!$J$3+'[8]Cracker Yields'!$K$3*'Financial Model (84 Months)'!CG15</f>
        <v>110689</v>
      </c>
      <c r="CH16" s="697">
        <f>CH12*'[8]Cracker Yields'!$H$3+'[8]Cracker Yields'!$I$3*'Financial Model (84 Months)'!CH13+'Financial Model (84 Months)'!CH14*'[8]Cracker Yields'!$J$3+'[8]Cracker Yields'!$K$3*'Financial Model (84 Months)'!CH15</f>
        <v>110689</v>
      </c>
      <c r="CI16" s="697">
        <f>CI12*'[8]Cracker Yields'!$H$3+'[8]Cracker Yields'!$I$3*'Financial Model (84 Months)'!CI13+'Financial Model (84 Months)'!CI14*'[8]Cracker Yields'!$J$3+'[8]Cracker Yields'!$K$3*'Financial Model (84 Months)'!CI15</f>
        <v>110689</v>
      </c>
      <c r="CJ16" s="697">
        <f>CJ12*'[8]Cracker Yields'!$H$3+'[8]Cracker Yields'!$I$3*'Financial Model (84 Months)'!CJ13+'Financial Model (84 Months)'!CJ14*'[8]Cracker Yields'!$J$3+'[8]Cracker Yields'!$K$3*'Financial Model (84 Months)'!CJ15</f>
        <v>110689</v>
      </c>
      <c r="CK16" s="697">
        <f>CK12*'[8]Cracker Yields'!$H$3+'[8]Cracker Yields'!$I$3*'Financial Model (84 Months)'!CK13+'Financial Model (84 Months)'!CK14*'[8]Cracker Yields'!$J$3+'[8]Cracker Yields'!$K$3*'Financial Model (84 Months)'!CK15</f>
        <v>110689</v>
      </c>
      <c r="CL16" s="699">
        <f>CL12*'[8]Cracker Yields'!$H$3+'[8]Cracker Yields'!$I$3*'Financial Model (84 Months)'!CL13+'Financial Model (84 Months)'!CL14*'[8]Cracker Yields'!$J$3+'[8]Cracker Yields'!$K$3*'Financial Model (84 Months)'!CL15</f>
        <v>110689</v>
      </c>
      <c r="CM16" s="636">
        <f t="shared" si="0"/>
        <v>110689</v>
      </c>
      <c r="CN16" s="245"/>
      <c r="CO16" s="245"/>
      <c r="CP16" s="245"/>
      <c r="CQ16" s="245"/>
      <c r="CR16" s="245"/>
      <c r="CS16" s="245"/>
      <c r="CT16" s="245"/>
      <c r="CU16" s="245"/>
      <c r="CV16" s="245"/>
      <c r="CW16" s="245"/>
      <c r="CX16" s="245"/>
      <c r="CY16" s="245"/>
      <c r="CZ16" s="245"/>
      <c r="DA16" s="245"/>
      <c r="DB16" s="245"/>
      <c r="DC16" s="245"/>
      <c r="DD16" s="245"/>
      <c r="DE16" s="245"/>
      <c r="DF16" s="245"/>
      <c r="DG16" s="245"/>
      <c r="DH16" s="245"/>
      <c r="DI16" s="245"/>
      <c r="DJ16" s="245"/>
      <c r="DK16" s="245"/>
      <c r="DL16" s="245"/>
      <c r="DM16" s="245"/>
      <c r="DN16" s="245"/>
      <c r="DO16" s="245"/>
      <c r="DP16" s="245"/>
      <c r="DQ16" s="245"/>
      <c r="DR16" s="245"/>
      <c r="DS16" s="245"/>
      <c r="DT16" s="245"/>
      <c r="DU16" s="245"/>
      <c r="DV16" s="245"/>
      <c r="DW16" s="245"/>
      <c r="DX16" s="245"/>
      <c r="DY16" s="245"/>
      <c r="DZ16" s="245"/>
      <c r="EA16" s="245"/>
      <c r="EB16" s="245"/>
      <c r="EC16" s="245"/>
      <c r="ED16" s="245"/>
      <c r="EE16" s="245"/>
      <c r="EF16" s="245"/>
      <c r="EG16" s="245"/>
      <c r="EH16" s="245"/>
      <c r="EI16" s="245"/>
      <c r="EJ16" s="245"/>
      <c r="EK16" s="245"/>
      <c r="EL16" s="245"/>
      <c r="EM16" s="245"/>
      <c r="EN16" s="245"/>
      <c r="EO16" s="245"/>
      <c r="EP16" s="245"/>
      <c r="EQ16" s="245"/>
      <c r="ER16" s="245"/>
      <c r="ES16" s="245"/>
      <c r="ET16" s="245"/>
      <c r="EU16" s="245"/>
      <c r="EV16" s="245"/>
      <c r="EW16" s="245"/>
      <c r="EX16" s="245"/>
      <c r="EY16" s="245"/>
      <c r="EZ16" s="245"/>
      <c r="FA16" s="245"/>
      <c r="FB16" s="245"/>
      <c r="FC16" s="245"/>
      <c r="FD16" s="245"/>
      <c r="FE16" s="245"/>
      <c r="FF16" s="245"/>
      <c r="FG16" s="245"/>
      <c r="FH16" s="245"/>
      <c r="FI16" s="245"/>
      <c r="FJ16" s="245"/>
      <c r="FK16" s="245"/>
      <c r="FL16" s="245"/>
      <c r="FM16" s="245"/>
      <c r="FN16" s="245"/>
      <c r="FO16" s="245"/>
      <c r="FP16" s="245"/>
      <c r="FQ16" s="245"/>
      <c r="FR16" s="245"/>
      <c r="FS16" s="245"/>
      <c r="FT16" s="245"/>
      <c r="FU16" s="245"/>
      <c r="FV16" s="245"/>
    </row>
    <row r="17" spans="1:178">
      <c r="A17" s="1041"/>
      <c r="B17" s="639" t="s">
        <v>312</v>
      </c>
      <c r="C17" s="640" t="s">
        <v>313</v>
      </c>
      <c r="D17" s="640"/>
      <c r="E17" s="1044"/>
      <c r="F17" s="700" t="s">
        <v>2</v>
      </c>
      <c r="G17" s="697">
        <f>G12*'[8]Cracker Yields'!$H$4+'[8]Cracker Yields'!$I$4*'Financial Model (84 Months)'!G13+'Financial Model (84 Months)'!G14*'[8]Cracker Yields'!$J$4+'[8]Cracker Yields'!$K$4*'Financial Model (84 Months)'!G15</f>
        <v>47206.166666666664</v>
      </c>
      <c r="H17" s="697">
        <f>H12*'[8]Cracker Yields'!$H$4+'[8]Cracker Yields'!$I$4*'Financial Model (84 Months)'!H13+'Financial Model (84 Months)'!H14*'[8]Cracker Yields'!$J$4+'[8]Cracker Yields'!$K$4*'Financial Model (84 Months)'!H15</f>
        <v>47206.166666666664</v>
      </c>
      <c r="I17" s="697">
        <f>I12*'[8]Cracker Yields'!$H$4+'[8]Cracker Yields'!$I$4*'Financial Model (84 Months)'!I13+'Financial Model (84 Months)'!I14*'[8]Cracker Yields'!$J$4+'[8]Cracker Yields'!$K$4*'Financial Model (84 Months)'!I15</f>
        <v>47206.166666666664</v>
      </c>
      <c r="J17" s="697">
        <f>J12*'[8]Cracker Yields'!$H$4+'[8]Cracker Yields'!$I$4*'Financial Model (84 Months)'!J13+'Financial Model (84 Months)'!J14*'[8]Cracker Yields'!$J$4+'[8]Cracker Yields'!$K$4*'Financial Model (84 Months)'!J15</f>
        <v>47206.166666666664</v>
      </c>
      <c r="K17" s="697">
        <f>K12*'[8]Cracker Yields'!$H$4+'[8]Cracker Yields'!$I$4*'Financial Model (84 Months)'!K13+'Financial Model (84 Months)'!K14*'[8]Cracker Yields'!$J$4+'[8]Cracker Yields'!$K$4*'Financial Model (84 Months)'!K15</f>
        <v>47206.166666666664</v>
      </c>
      <c r="L17" s="697">
        <f>L12*'[8]Cracker Yields'!$H$4+'[8]Cracker Yields'!$I$4*'Financial Model (84 Months)'!L13+'Financial Model (84 Months)'!L14*'[8]Cracker Yields'!$J$4+'[8]Cracker Yields'!$K$4*'Financial Model (84 Months)'!L15</f>
        <v>47206.166666666664</v>
      </c>
      <c r="M17" s="697">
        <f>M12*'[8]Cracker Yields'!$H$4+'[8]Cracker Yields'!$I$4*'Financial Model (84 Months)'!M13+'Financial Model (84 Months)'!M14*'[8]Cracker Yields'!$J$4+'[8]Cracker Yields'!$K$4*'Financial Model (84 Months)'!M15</f>
        <v>47206.166666666664</v>
      </c>
      <c r="N17" s="697">
        <f>N12*'[8]Cracker Yields'!$H$4+'[8]Cracker Yields'!$I$4*'Financial Model (84 Months)'!N13+'Financial Model (84 Months)'!N14*'[8]Cracker Yields'!$J$4+'[8]Cracker Yields'!$K$4*'Financial Model (84 Months)'!N15</f>
        <v>47206.166666666664</v>
      </c>
      <c r="O17" s="697">
        <f>O12*'[8]Cracker Yields'!$H$4+'[8]Cracker Yields'!$I$4*'Financial Model (84 Months)'!O13+'Financial Model (84 Months)'!O14*'[8]Cracker Yields'!$J$4+'[8]Cracker Yields'!$K$4*'Financial Model (84 Months)'!O15</f>
        <v>47206.166666666664</v>
      </c>
      <c r="P17" s="697">
        <f>P12*'[8]Cracker Yields'!$H$4+'[8]Cracker Yields'!$I$4*'Financial Model (84 Months)'!P13+'Financial Model (84 Months)'!P14*'[8]Cracker Yields'!$J$4+'[8]Cracker Yields'!$K$4*'Financial Model (84 Months)'!P15</f>
        <v>47206.166666666664</v>
      </c>
      <c r="Q17" s="697">
        <f>Q12*'[8]Cracker Yields'!$H$4+'[8]Cracker Yields'!$I$4*'Financial Model (84 Months)'!Q13+'Financial Model (84 Months)'!Q14*'[8]Cracker Yields'!$J$4+'[8]Cracker Yields'!$K$4*'Financial Model (84 Months)'!Q15</f>
        <v>47206.166666666664</v>
      </c>
      <c r="R17" s="697">
        <f>R12*'[8]Cracker Yields'!$H$4+'[8]Cracker Yields'!$I$4*'Financial Model (84 Months)'!R13+'Financial Model (84 Months)'!R14*'[8]Cracker Yields'!$J$4+'[8]Cracker Yields'!$K$4*'Financial Model (84 Months)'!R15</f>
        <v>47206.166666666664</v>
      </c>
      <c r="S17" s="697">
        <f>S12*'[8]Cracker Yields'!$H$4+'[8]Cracker Yields'!$I$4*'Financial Model (84 Months)'!S13+'Financial Model (84 Months)'!S14*'[8]Cracker Yields'!$J$4+'[8]Cracker Yields'!$K$4*'Financial Model (84 Months)'!S15</f>
        <v>47206.166666666664</v>
      </c>
      <c r="T17" s="697">
        <f>T12*'[8]Cracker Yields'!$H$4+'[8]Cracker Yields'!$I$4*'Financial Model (84 Months)'!T13+'Financial Model (84 Months)'!T14*'[8]Cracker Yields'!$J$4+'[8]Cracker Yields'!$K$4*'Financial Model (84 Months)'!T15</f>
        <v>47206.166666666664</v>
      </c>
      <c r="U17" s="697">
        <f>U12*'[8]Cracker Yields'!$H$4+'[8]Cracker Yields'!$I$4*'Financial Model (84 Months)'!U13+'Financial Model (84 Months)'!U14*'[8]Cracker Yields'!$J$4+'[8]Cracker Yields'!$K$4*'Financial Model (84 Months)'!U15</f>
        <v>47206.166666666664</v>
      </c>
      <c r="V17" s="697">
        <f>V12*'[8]Cracker Yields'!$H$4+'[8]Cracker Yields'!$I$4*'Financial Model (84 Months)'!V13+'Financial Model (84 Months)'!V14*'[8]Cracker Yields'!$J$4+'[8]Cracker Yields'!$K$4*'Financial Model (84 Months)'!V15</f>
        <v>47206.166666666664</v>
      </c>
      <c r="W17" s="697">
        <f>W12*'[8]Cracker Yields'!$H$4+'[8]Cracker Yields'!$I$4*'Financial Model (84 Months)'!W13+'Financial Model (84 Months)'!W14*'[8]Cracker Yields'!$J$4+'[8]Cracker Yields'!$K$4*'Financial Model (84 Months)'!W15</f>
        <v>47206.166666666664</v>
      </c>
      <c r="X17" s="697">
        <f>X12*'[8]Cracker Yields'!$H$4+'[8]Cracker Yields'!$I$4*'Financial Model (84 Months)'!X13+'Financial Model (84 Months)'!X14*'[8]Cracker Yields'!$J$4+'[8]Cracker Yields'!$K$4*'Financial Model (84 Months)'!X15</f>
        <v>47206.166666666664</v>
      </c>
      <c r="Y17" s="697">
        <f>Y12*'[8]Cracker Yields'!$H$4+'[8]Cracker Yields'!$I$4*'Financial Model (84 Months)'!Y13+'Financial Model (84 Months)'!Y14*'[8]Cracker Yields'!$J$4+'[8]Cracker Yields'!$K$4*'Financial Model (84 Months)'!Y15</f>
        <v>47206.166666666664</v>
      </c>
      <c r="Z17" s="697">
        <f>Z12*'[8]Cracker Yields'!$H$4+'[8]Cracker Yields'!$I$4*'Financial Model (84 Months)'!Z13+'Financial Model (84 Months)'!Z14*'[8]Cracker Yields'!$J$4+'[8]Cracker Yields'!$K$4*'Financial Model (84 Months)'!Z15</f>
        <v>47206.166666666664</v>
      </c>
      <c r="AA17" s="697">
        <f>AA12*'[8]Cracker Yields'!$H$4+'[8]Cracker Yields'!$I$4*'Financial Model (84 Months)'!AA13+'Financial Model (84 Months)'!AA14*'[8]Cracker Yields'!$J$4+'[8]Cracker Yields'!$K$4*'Financial Model (84 Months)'!AA15</f>
        <v>47206.166666666664</v>
      </c>
      <c r="AB17" s="697">
        <f>AB12*'[8]Cracker Yields'!$H$4+'[8]Cracker Yields'!$I$4*'Financial Model (84 Months)'!AB13+'Financial Model (84 Months)'!AB14*'[8]Cracker Yields'!$J$4+'[8]Cracker Yields'!$K$4*'Financial Model (84 Months)'!AB15</f>
        <v>47206.166666666664</v>
      </c>
      <c r="AC17" s="697">
        <f>AC12*'[8]Cracker Yields'!$H$4+'[8]Cracker Yields'!$I$4*'Financial Model (84 Months)'!AC13+'Financial Model (84 Months)'!AC14*'[8]Cracker Yields'!$J$4+'[8]Cracker Yields'!$K$4*'Financial Model (84 Months)'!AC15</f>
        <v>47206.166666666664</v>
      </c>
      <c r="AD17" s="697">
        <f>AD12*'[8]Cracker Yields'!$H$4+'[8]Cracker Yields'!$I$4*'Financial Model (84 Months)'!AD13+'Financial Model (84 Months)'!AD14*'[8]Cracker Yields'!$J$4+'[8]Cracker Yields'!$K$4*'Financial Model (84 Months)'!AD15</f>
        <v>47206.166666666664</v>
      </c>
      <c r="AE17" s="697">
        <f>AE12*'[8]Cracker Yields'!$H$4+'[8]Cracker Yields'!$I$4*'Financial Model (84 Months)'!AE13+'Financial Model (84 Months)'!AE14*'[8]Cracker Yields'!$J$4+'[8]Cracker Yields'!$K$4*'Financial Model (84 Months)'!AE15</f>
        <v>47206.166666666664</v>
      </c>
      <c r="AF17" s="697">
        <f>AF12*'[8]Cracker Yields'!$H$4+'[8]Cracker Yields'!$I$4*'Financial Model (84 Months)'!AF13+'Financial Model (84 Months)'!AF14*'[8]Cracker Yields'!$J$4+'[8]Cracker Yields'!$K$4*'Financial Model (84 Months)'!AF15</f>
        <v>47206.166666666664</v>
      </c>
      <c r="AG17" s="697">
        <f>AG12*'[8]Cracker Yields'!$H$4+'[8]Cracker Yields'!$I$4*'Financial Model (84 Months)'!AG13+'Financial Model (84 Months)'!AG14*'[8]Cracker Yields'!$J$4+'[8]Cracker Yields'!$K$4*'Financial Model (84 Months)'!AG15</f>
        <v>47206.166666666664</v>
      </c>
      <c r="AH17" s="697">
        <f>AH12*'[8]Cracker Yields'!$H$4+'[8]Cracker Yields'!$I$4*'Financial Model (84 Months)'!AH13+'Financial Model (84 Months)'!AH14*'[8]Cracker Yields'!$J$4+'[8]Cracker Yields'!$K$4*'Financial Model (84 Months)'!AH15</f>
        <v>47206.166666666664</v>
      </c>
      <c r="AI17" s="697">
        <f>AI12*'[8]Cracker Yields'!$H$4+'[8]Cracker Yields'!$I$4*'Financial Model (84 Months)'!AI13+'Financial Model (84 Months)'!AI14*'[8]Cracker Yields'!$J$4+'[8]Cracker Yields'!$K$4*'Financial Model (84 Months)'!AI15</f>
        <v>47206.166666666664</v>
      </c>
      <c r="AJ17" s="697">
        <f>AJ12*'[8]Cracker Yields'!$H$4+'[8]Cracker Yields'!$I$4*'Financial Model (84 Months)'!AJ13+'Financial Model (84 Months)'!AJ14*'[8]Cracker Yields'!$J$4+'[8]Cracker Yields'!$K$4*'Financial Model (84 Months)'!AJ15</f>
        <v>47206.166666666664</v>
      </c>
      <c r="AK17" s="697">
        <f>AK12*'[8]Cracker Yields'!$H$4+'[8]Cracker Yields'!$I$4*'Financial Model (84 Months)'!AK13+'Financial Model (84 Months)'!AK14*'[8]Cracker Yields'!$J$4+'[8]Cracker Yields'!$K$4*'Financial Model (84 Months)'!AK15</f>
        <v>47206.166666666664</v>
      </c>
      <c r="AL17" s="697">
        <f>AL12*'[8]Cracker Yields'!$H$4+'[8]Cracker Yields'!$I$4*'Financial Model (84 Months)'!AL13+'Financial Model (84 Months)'!AL14*'[8]Cracker Yields'!$J$4+'[8]Cracker Yields'!$K$4*'Financial Model (84 Months)'!AL15</f>
        <v>47206.166666666664</v>
      </c>
      <c r="AM17" s="697">
        <f>AM12*'[8]Cracker Yields'!$H$4+'[8]Cracker Yields'!$I$4*'Financial Model (84 Months)'!AM13+'Financial Model (84 Months)'!AM14*'[8]Cracker Yields'!$J$4+'[8]Cracker Yields'!$K$4*'Financial Model (84 Months)'!AM15</f>
        <v>47206.166666666664</v>
      </c>
      <c r="AN17" s="697">
        <f>AN12*'[8]Cracker Yields'!$H$4+'[8]Cracker Yields'!$I$4*'Financial Model (84 Months)'!AN13+'Financial Model (84 Months)'!AN14*'[8]Cracker Yields'!$J$4+'[8]Cracker Yields'!$K$4*'Financial Model (84 Months)'!AN15</f>
        <v>47206.166666666664</v>
      </c>
      <c r="AO17" s="697">
        <f>AO12*'[8]Cracker Yields'!$H$4+'[8]Cracker Yields'!$I$4*'Financial Model (84 Months)'!AO13+'Financial Model (84 Months)'!AO14*'[8]Cracker Yields'!$J$4+'[8]Cracker Yields'!$K$4*'Financial Model (84 Months)'!AO15</f>
        <v>47206.166666666664</v>
      </c>
      <c r="AP17" s="697">
        <f>AP12*'[8]Cracker Yields'!$H$4+'[8]Cracker Yields'!$I$4*'Financial Model (84 Months)'!AP13+'Financial Model (84 Months)'!AP14*'[8]Cracker Yields'!$J$4+'[8]Cracker Yields'!$K$4*'Financial Model (84 Months)'!AP15</f>
        <v>47206.166666666664</v>
      </c>
      <c r="AQ17" s="697">
        <f>AQ12*'[8]Cracker Yields'!$H$4+'[8]Cracker Yields'!$I$4*'Financial Model (84 Months)'!AQ13+'Financial Model (84 Months)'!AQ14*'[8]Cracker Yields'!$J$4+'[8]Cracker Yields'!$K$4*'Financial Model (84 Months)'!AQ15</f>
        <v>47206.166666666664</v>
      </c>
      <c r="AR17" s="697">
        <f>AR12*'[8]Cracker Yields'!$H$4+'[8]Cracker Yields'!$I$4*'Financial Model (84 Months)'!AR13+'Financial Model (84 Months)'!AR14*'[8]Cracker Yields'!$J$4+'[8]Cracker Yields'!$K$4*'Financial Model (84 Months)'!AR15</f>
        <v>47206.166666666664</v>
      </c>
      <c r="AS17" s="697">
        <f>AS12*'[8]Cracker Yields'!$H$4+'[8]Cracker Yields'!$I$4*'Financial Model (84 Months)'!AS13+'Financial Model (84 Months)'!AS14*'[8]Cracker Yields'!$J$4+'[8]Cracker Yields'!$K$4*'Financial Model (84 Months)'!AS15</f>
        <v>47206.166666666664</v>
      </c>
      <c r="AT17" s="697">
        <f>AT12*'[8]Cracker Yields'!$H$4+'[8]Cracker Yields'!$I$4*'Financial Model (84 Months)'!AT13+'Financial Model (84 Months)'!AT14*'[8]Cracker Yields'!$J$4+'[8]Cracker Yields'!$K$4*'Financial Model (84 Months)'!AT15</f>
        <v>47206.166666666664</v>
      </c>
      <c r="AU17" s="697">
        <f>AU12*'[8]Cracker Yields'!$H$4+'[8]Cracker Yields'!$I$4*'Financial Model (84 Months)'!AU13+'Financial Model (84 Months)'!AU14*'[8]Cracker Yields'!$J$4+'[8]Cracker Yields'!$K$4*'Financial Model (84 Months)'!AU15</f>
        <v>47206.166666666664</v>
      </c>
      <c r="AV17" s="697">
        <f>AV12*'[8]Cracker Yields'!$H$4+'[8]Cracker Yields'!$I$4*'Financial Model (84 Months)'!AV13+'Financial Model (84 Months)'!AV14*'[8]Cracker Yields'!$J$4+'[8]Cracker Yields'!$K$4*'Financial Model (84 Months)'!AV15</f>
        <v>47206.166666666664</v>
      </c>
      <c r="AW17" s="697">
        <f>AW12*'[8]Cracker Yields'!$H$4+'[8]Cracker Yields'!$I$4*'Financial Model (84 Months)'!AW13+'Financial Model (84 Months)'!AW14*'[8]Cracker Yields'!$J$4+'[8]Cracker Yields'!$K$4*'Financial Model (84 Months)'!AW15</f>
        <v>47206.166666666664</v>
      </c>
      <c r="AX17" s="697">
        <f>AX12*'[8]Cracker Yields'!$H$4+'[8]Cracker Yields'!$I$4*'Financial Model (84 Months)'!AX13+'Financial Model (84 Months)'!AX14*'[8]Cracker Yields'!$J$4+'[8]Cracker Yields'!$K$4*'Financial Model (84 Months)'!AX15</f>
        <v>47206.166666666664</v>
      </c>
      <c r="AY17" s="697">
        <f>AY12*'[8]Cracker Yields'!$H$4+'[8]Cracker Yields'!$I$4*'Financial Model (84 Months)'!AY13+'Financial Model (84 Months)'!AY14*'[8]Cracker Yields'!$J$4+'[8]Cracker Yields'!$K$4*'Financial Model (84 Months)'!AY15</f>
        <v>47206.166666666664</v>
      </c>
      <c r="AZ17" s="697">
        <f>AZ12*'[8]Cracker Yields'!$H$4+'[8]Cracker Yields'!$I$4*'Financial Model (84 Months)'!AZ13+'Financial Model (84 Months)'!AZ14*'[8]Cracker Yields'!$J$4+'[8]Cracker Yields'!$K$4*'Financial Model (84 Months)'!AZ15</f>
        <v>47206.166666666664</v>
      </c>
      <c r="BA17" s="697">
        <f>BA12*'[8]Cracker Yields'!$H$4+'[8]Cracker Yields'!$I$4*'Financial Model (84 Months)'!BA13+'Financial Model (84 Months)'!BA14*'[8]Cracker Yields'!$J$4+'[8]Cracker Yields'!$K$4*'Financial Model (84 Months)'!BA15</f>
        <v>47206.166666666664</v>
      </c>
      <c r="BB17" s="697">
        <f>BB12*'[8]Cracker Yields'!$H$4+'[8]Cracker Yields'!$I$4*'Financial Model (84 Months)'!BB13+'Financial Model (84 Months)'!BB14*'[8]Cracker Yields'!$J$4+'[8]Cracker Yields'!$K$4*'Financial Model (84 Months)'!BB15</f>
        <v>47206.166666666664</v>
      </c>
      <c r="BC17" s="697">
        <f>BC12*'[8]Cracker Yields'!$H$4+'[8]Cracker Yields'!$I$4*'Financial Model (84 Months)'!BC13+'Financial Model (84 Months)'!BC14*'[8]Cracker Yields'!$J$4+'[8]Cracker Yields'!$K$4*'Financial Model (84 Months)'!BC15</f>
        <v>47206.166666666664</v>
      </c>
      <c r="BD17" s="697">
        <f>BD12*'[8]Cracker Yields'!$H$4+'[8]Cracker Yields'!$I$4*'Financial Model (84 Months)'!BD13+'Financial Model (84 Months)'!BD14*'[8]Cracker Yields'!$J$4+'[8]Cracker Yields'!$K$4*'Financial Model (84 Months)'!BD15</f>
        <v>47206.166666666664</v>
      </c>
      <c r="BE17" s="697">
        <f>BE12*'[8]Cracker Yields'!$H$4+'[8]Cracker Yields'!$I$4*'Financial Model (84 Months)'!BE13+'Financial Model (84 Months)'!BE14*'[8]Cracker Yields'!$J$4+'[8]Cracker Yields'!$K$4*'Financial Model (84 Months)'!BE15</f>
        <v>47206.166666666664</v>
      </c>
      <c r="BF17" s="697">
        <f>BF12*'[8]Cracker Yields'!$H$4+'[8]Cracker Yields'!$I$4*'Financial Model (84 Months)'!BF13+'Financial Model (84 Months)'!BF14*'[8]Cracker Yields'!$J$4+'[8]Cracker Yields'!$K$4*'Financial Model (84 Months)'!BF15</f>
        <v>47206.166666666664</v>
      </c>
      <c r="BG17" s="697">
        <f>BG12*'[8]Cracker Yields'!$H$4+'[8]Cracker Yields'!$I$4*'Financial Model (84 Months)'!BG13+'Financial Model (84 Months)'!BG14*'[8]Cracker Yields'!$J$4+'[8]Cracker Yields'!$K$4*'Financial Model (84 Months)'!BG15</f>
        <v>47206.166666666664</v>
      </c>
      <c r="BH17" s="697">
        <f>BH12*'[8]Cracker Yields'!$H$4+'[8]Cracker Yields'!$I$4*'Financial Model (84 Months)'!BH13+'Financial Model (84 Months)'!BH14*'[8]Cracker Yields'!$J$4+'[8]Cracker Yields'!$K$4*'Financial Model (84 Months)'!BH15</f>
        <v>47206.166666666664</v>
      </c>
      <c r="BI17" s="697">
        <f>BI12*'[8]Cracker Yields'!$H$4+'[8]Cracker Yields'!$I$4*'Financial Model (84 Months)'!BI13+'Financial Model (84 Months)'!BI14*'[8]Cracker Yields'!$J$4+'[8]Cracker Yields'!$K$4*'Financial Model (84 Months)'!BI15</f>
        <v>47206.166666666664</v>
      </c>
      <c r="BJ17" s="697">
        <f>BJ12*'[8]Cracker Yields'!$H$4+'[8]Cracker Yields'!$I$4*'Financial Model (84 Months)'!BJ13+'Financial Model (84 Months)'!BJ14*'[8]Cracker Yields'!$J$4+'[8]Cracker Yields'!$K$4*'Financial Model (84 Months)'!BJ15</f>
        <v>47206.166666666664</v>
      </c>
      <c r="BK17" s="697">
        <f>BK12*'[8]Cracker Yields'!$H$4+'[8]Cracker Yields'!$I$4*'Financial Model (84 Months)'!BK13+'Financial Model (84 Months)'!BK14*'[8]Cracker Yields'!$J$4+'[8]Cracker Yields'!$K$4*'Financial Model (84 Months)'!BK15</f>
        <v>47206.166666666664</v>
      </c>
      <c r="BL17" s="697">
        <f>BL12*'[8]Cracker Yields'!$H$4+'[8]Cracker Yields'!$I$4*'Financial Model (84 Months)'!BL13+'Financial Model (84 Months)'!BL14*'[8]Cracker Yields'!$J$4+'[8]Cracker Yields'!$K$4*'Financial Model (84 Months)'!BL15</f>
        <v>47206.166666666664</v>
      </c>
      <c r="BM17" s="697">
        <f>BM12*'[8]Cracker Yields'!$H$4+'[8]Cracker Yields'!$I$4*'Financial Model (84 Months)'!BM13+'Financial Model (84 Months)'!BM14*'[8]Cracker Yields'!$J$4+'[8]Cracker Yields'!$K$4*'Financial Model (84 Months)'!BM15</f>
        <v>47206.166666666664</v>
      </c>
      <c r="BN17" s="697">
        <f>BN12*'[8]Cracker Yields'!$H$4+'[8]Cracker Yields'!$I$4*'Financial Model (84 Months)'!BN13+'Financial Model (84 Months)'!BN14*'[8]Cracker Yields'!$J$4+'[8]Cracker Yields'!$K$4*'Financial Model (84 Months)'!BN15</f>
        <v>47206.166666666664</v>
      </c>
      <c r="BO17" s="697">
        <f>BO12*'[8]Cracker Yields'!$H$4+'[8]Cracker Yields'!$I$4*'Financial Model (84 Months)'!BO13+'Financial Model (84 Months)'!BO14*'[8]Cracker Yields'!$J$4+'[8]Cracker Yields'!$K$4*'Financial Model (84 Months)'!BO15</f>
        <v>47206.166666666664</v>
      </c>
      <c r="BP17" s="697">
        <f>BP12*'[8]Cracker Yields'!$H$4+'[8]Cracker Yields'!$I$4*'Financial Model (84 Months)'!BP13+'Financial Model (84 Months)'!BP14*'[8]Cracker Yields'!$J$4+'[8]Cracker Yields'!$K$4*'Financial Model (84 Months)'!BP15</f>
        <v>47206.166666666664</v>
      </c>
      <c r="BQ17" s="697">
        <f>BQ12*'[8]Cracker Yields'!$H$4+'[8]Cracker Yields'!$I$4*'Financial Model (84 Months)'!BQ13+'Financial Model (84 Months)'!BQ14*'[8]Cracker Yields'!$J$4+'[8]Cracker Yields'!$K$4*'Financial Model (84 Months)'!BQ15</f>
        <v>47206.166666666664</v>
      </c>
      <c r="BR17" s="697">
        <f>BR12*'[8]Cracker Yields'!$H$4+'[8]Cracker Yields'!$I$4*'Financial Model (84 Months)'!BR13+'Financial Model (84 Months)'!BR14*'[8]Cracker Yields'!$J$4+'[8]Cracker Yields'!$K$4*'Financial Model (84 Months)'!BR15</f>
        <v>47206.166666666664</v>
      </c>
      <c r="BS17" s="697">
        <f>BS12*'[8]Cracker Yields'!$H$4+'[8]Cracker Yields'!$I$4*'Financial Model (84 Months)'!BS13+'Financial Model (84 Months)'!BS14*'[8]Cracker Yields'!$J$4+'[8]Cracker Yields'!$K$4*'Financial Model (84 Months)'!BS15</f>
        <v>47206.166666666664</v>
      </c>
      <c r="BT17" s="697">
        <f>BT12*'[8]Cracker Yields'!$H$4+'[8]Cracker Yields'!$I$4*'Financial Model (84 Months)'!BT13+'Financial Model (84 Months)'!BT14*'[8]Cracker Yields'!$J$4+'[8]Cracker Yields'!$K$4*'Financial Model (84 Months)'!BT15</f>
        <v>47206.166666666664</v>
      </c>
      <c r="BU17" s="697">
        <f>BU12*'[8]Cracker Yields'!$H$4+'[8]Cracker Yields'!$I$4*'Financial Model (84 Months)'!BU13+'Financial Model (84 Months)'!BU14*'[8]Cracker Yields'!$J$4+'[8]Cracker Yields'!$K$4*'Financial Model (84 Months)'!BU15</f>
        <v>47206.166666666664</v>
      </c>
      <c r="BV17" s="697">
        <f>BV12*'[8]Cracker Yields'!$H$4+'[8]Cracker Yields'!$I$4*'Financial Model (84 Months)'!BV13+'Financial Model (84 Months)'!BV14*'[8]Cracker Yields'!$J$4+'[8]Cracker Yields'!$K$4*'Financial Model (84 Months)'!BV15</f>
        <v>47206.166666666664</v>
      </c>
      <c r="BW17" s="697">
        <f>BW12*'[8]Cracker Yields'!$H$4+'[8]Cracker Yields'!$I$4*'Financial Model (84 Months)'!BW13+'Financial Model (84 Months)'!BW14*'[8]Cracker Yields'!$J$4+'[8]Cracker Yields'!$K$4*'Financial Model (84 Months)'!BW15</f>
        <v>47206.166666666664</v>
      </c>
      <c r="BX17" s="697">
        <f>BX12*'[8]Cracker Yields'!$H$4+'[8]Cracker Yields'!$I$4*'Financial Model (84 Months)'!BX13+'Financial Model (84 Months)'!BX14*'[8]Cracker Yields'!$J$4+'[8]Cracker Yields'!$K$4*'Financial Model (84 Months)'!BX15</f>
        <v>47206.166666666664</v>
      </c>
      <c r="BY17" s="697">
        <f>BY12*'[8]Cracker Yields'!$H$4+'[8]Cracker Yields'!$I$4*'Financial Model (84 Months)'!BY13+'Financial Model (84 Months)'!BY14*'[8]Cracker Yields'!$J$4+'[8]Cracker Yields'!$K$4*'Financial Model (84 Months)'!BY15</f>
        <v>47206.166666666664</v>
      </c>
      <c r="BZ17" s="697">
        <f>BZ12*'[8]Cracker Yields'!$H$4+'[8]Cracker Yields'!$I$4*'Financial Model (84 Months)'!BZ13+'Financial Model (84 Months)'!BZ14*'[8]Cracker Yields'!$J$4+'[8]Cracker Yields'!$K$4*'Financial Model (84 Months)'!BZ15</f>
        <v>47206.166666666664</v>
      </c>
      <c r="CA17" s="697">
        <f>CA12*'[8]Cracker Yields'!$H$4+'[8]Cracker Yields'!$I$4*'Financial Model (84 Months)'!CA13+'Financial Model (84 Months)'!CA14*'[8]Cracker Yields'!$J$4+'[8]Cracker Yields'!$K$4*'Financial Model (84 Months)'!CA15</f>
        <v>47206.166666666664</v>
      </c>
      <c r="CB17" s="697">
        <f>CB12*'[8]Cracker Yields'!$H$4+'[8]Cracker Yields'!$I$4*'Financial Model (84 Months)'!CB13+'Financial Model (84 Months)'!CB14*'[8]Cracker Yields'!$J$4+'[8]Cracker Yields'!$K$4*'Financial Model (84 Months)'!CB15</f>
        <v>47206.166666666664</v>
      </c>
      <c r="CC17" s="697">
        <f>CC12*'[8]Cracker Yields'!$H$4+'[8]Cracker Yields'!$I$4*'Financial Model (84 Months)'!CC13+'Financial Model (84 Months)'!CC14*'[8]Cracker Yields'!$J$4+'[8]Cracker Yields'!$K$4*'Financial Model (84 Months)'!CC15</f>
        <v>47206.166666666664</v>
      </c>
      <c r="CD17" s="697">
        <f>CD12*'[8]Cracker Yields'!$H$4+'[8]Cracker Yields'!$I$4*'Financial Model (84 Months)'!CD13+'Financial Model (84 Months)'!CD14*'[8]Cracker Yields'!$J$4+'[8]Cracker Yields'!$K$4*'Financial Model (84 Months)'!CD15</f>
        <v>47206.166666666664</v>
      </c>
      <c r="CE17" s="697">
        <f>CE12*'[8]Cracker Yields'!$H$4+'[8]Cracker Yields'!$I$4*'Financial Model (84 Months)'!CE13+'Financial Model (84 Months)'!CE14*'[8]Cracker Yields'!$J$4+'[8]Cracker Yields'!$K$4*'Financial Model (84 Months)'!CE15</f>
        <v>47206.166666666664</v>
      </c>
      <c r="CF17" s="697">
        <f>CF12*'[8]Cracker Yields'!$H$4+'[8]Cracker Yields'!$I$4*'Financial Model (84 Months)'!CF13+'Financial Model (84 Months)'!CF14*'[8]Cracker Yields'!$J$4+'[8]Cracker Yields'!$K$4*'Financial Model (84 Months)'!CF15</f>
        <v>47206.166666666664</v>
      </c>
      <c r="CG17" s="697">
        <f>CG12*'[8]Cracker Yields'!$H$4+'[8]Cracker Yields'!$I$4*'Financial Model (84 Months)'!CG13+'Financial Model (84 Months)'!CG14*'[8]Cracker Yields'!$J$4+'[8]Cracker Yields'!$K$4*'Financial Model (84 Months)'!CG15</f>
        <v>47206.166666666664</v>
      </c>
      <c r="CH17" s="697">
        <f>CH12*'[8]Cracker Yields'!$H$4+'[8]Cracker Yields'!$I$4*'Financial Model (84 Months)'!CH13+'Financial Model (84 Months)'!CH14*'[8]Cracker Yields'!$J$4+'[8]Cracker Yields'!$K$4*'Financial Model (84 Months)'!CH15</f>
        <v>47206.166666666664</v>
      </c>
      <c r="CI17" s="697">
        <f>CI12*'[8]Cracker Yields'!$H$4+'[8]Cracker Yields'!$I$4*'Financial Model (84 Months)'!CI13+'Financial Model (84 Months)'!CI14*'[8]Cracker Yields'!$J$4+'[8]Cracker Yields'!$K$4*'Financial Model (84 Months)'!CI15</f>
        <v>47206.166666666664</v>
      </c>
      <c r="CJ17" s="697">
        <f>CJ12*'[8]Cracker Yields'!$H$4+'[8]Cracker Yields'!$I$4*'Financial Model (84 Months)'!CJ13+'Financial Model (84 Months)'!CJ14*'[8]Cracker Yields'!$J$4+'[8]Cracker Yields'!$K$4*'Financial Model (84 Months)'!CJ15</f>
        <v>47206.166666666664</v>
      </c>
      <c r="CK17" s="697">
        <f>CK12*'[8]Cracker Yields'!$H$4+'[8]Cracker Yields'!$I$4*'Financial Model (84 Months)'!CK13+'Financial Model (84 Months)'!CK14*'[8]Cracker Yields'!$J$4+'[8]Cracker Yields'!$K$4*'Financial Model (84 Months)'!CK15</f>
        <v>47206.166666666664</v>
      </c>
      <c r="CL17" s="697">
        <f>CL12*'[8]Cracker Yields'!$H$4+'[8]Cracker Yields'!$I$4*'Financial Model (84 Months)'!CL13+'Financial Model (84 Months)'!CL14*'[8]Cracker Yields'!$J$4+'[8]Cracker Yields'!$K$4*'Financial Model (84 Months)'!CL15</f>
        <v>47206.166666666664</v>
      </c>
      <c r="CM17" s="642">
        <f t="shared" si="0"/>
        <v>47206.166666666613</v>
      </c>
      <c r="CN17" s="245"/>
      <c r="CO17" s="245"/>
      <c r="CP17" s="245"/>
      <c r="CQ17" s="245"/>
      <c r="CR17" s="245"/>
      <c r="CS17" s="245"/>
      <c r="CT17" s="245"/>
      <c r="CU17" s="245"/>
      <c r="CV17" s="245"/>
      <c r="CW17" s="245"/>
      <c r="CX17" s="245"/>
      <c r="CY17" s="245"/>
      <c r="CZ17" s="245"/>
      <c r="DA17" s="245"/>
      <c r="DB17" s="245"/>
      <c r="DC17" s="245"/>
      <c r="DD17" s="245"/>
      <c r="DE17" s="245"/>
      <c r="DF17" s="245"/>
      <c r="DG17" s="245"/>
      <c r="DH17" s="245"/>
      <c r="DI17" s="245"/>
      <c r="DJ17" s="245"/>
      <c r="DK17" s="245"/>
      <c r="DL17" s="245"/>
      <c r="DM17" s="245"/>
      <c r="DN17" s="245"/>
      <c r="DO17" s="245"/>
      <c r="DP17" s="245"/>
      <c r="DQ17" s="245"/>
      <c r="DR17" s="245"/>
      <c r="DS17" s="245"/>
      <c r="DT17" s="245"/>
      <c r="DU17" s="245"/>
      <c r="DV17" s="245"/>
      <c r="DW17" s="245"/>
      <c r="DX17" s="245"/>
      <c r="DY17" s="245"/>
      <c r="DZ17" s="245"/>
      <c r="EA17" s="245"/>
      <c r="EB17" s="245"/>
      <c r="EC17" s="245"/>
      <c r="ED17" s="245"/>
      <c r="EE17" s="245"/>
      <c r="EF17" s="245"/>
      <c r="EG17" s="245"/>
      <c r="EH17" s="245"/>
      <c r="EI17" s="245"/>
      <c r="EJ17" s="245"/>
      <c r="EK17" s="245"/>
      <c r="EL17" s="245"/>
      <c r="EM17" s="245"/>
      <c r="EN17" s="245"/>
      <c r="EO17" s="245"/>
      <c r="EP17" s="245"/>
      <c r="EQ17" s="245"/>
      <c r="ER17" s="245"/>
      <c r="ES17" s="245"/>
      <c r="ET17" s="245"/>
      <c r="EU17" s="245"/>
      <c r="EV17" s="245"/>
      <c r="EW17" s="245"/>
      <c r="EX17" s="245"/>
      <c r="EY17" s="245"/>
      <c r="EZ17" s="245"/>
      <c r="FA17" s="245"/>
      <c r="FB17" s="245"/>
      <c r="FC17" s="245"/>
      <c r="FD17" s="245"/>
      <c r="FE17" s="245"/>
      <c r="FF17" s="245"/>
      <c r="FG17" s="245"/>
      <c r="FH17" s="245"/>
      <c r="FI17" s="245"/>
      <c r="FJ17" s="245"/>
      <c r="FK17" s="245"/>
      <c r="FL17" s="245"/>
      <c r="FM17" s="245"/>
      <c r="FN17" s="245"/>
      <c r="FO17" s="245"/>
      <c r="FP17" s="245"/>
      <c r="FQ17" s="245"/>
      <c r="FR17" s="245"/>
      <c r="FS17" s="245"/>
      <c r="FT17" s="245"/>
      <c r="FU17" s="245"/>
      <c r="FV17" s="245"/>
    </row>
    <row r="18" spans="1:178">
      <c r="A18" s="1041"/>
      <c r="B18" s="639" t="s">
        <v>312</v>
      </c>
      <c r="C18" s="640" t="s">
        <v>313</v>
      </c>
      <c r="D18" s="640"/>
      <c r="E18" s="1044"/>
      <c r="F18" s="700" t="str">
        <f>F7</f>
        <v xml:space="preserve">Benzene </v>
      </c>
      <c r="G18" s="701">
        <f>G12*'[8]Cracker Yields'!$H$6+'[8]Cracker Yields'!$I$6*'Financial Model (84 Months)'!G13+'Financial Model (84 Months)'!G14*'[8]Cracker Yields'!$J$6+'[8]Cracker Yields'!$K$6*'Financial Model (84 Months)'!G15</f>
        <v>12105.081666666669</v>
      </c>
      <c r="H18" s="701">
        <f>H12*'[8]Cracker Yields'!$H$6+'[8]Cracker Yields'!$I$6*'Financial Model (84 Months)'!H13+'Financial Model (84 Months)'!H14*'[8]Cracker Yields'!$J$6+'[8]Cracker Yields'!$K$6*'Financial Model (84 Months)'!H15</f>
        <v>12105.081666666669</v>
      </c>
      <c r="I18" s="701">
        <f>I12*'[8]Cracker Yields'!$H$6+'[8]Cracker Yields'!$I$6*'Financial Model (84 Months)'!I13+'Financial Model (84 Months)'!I14*'[8]Cracker Yields'!$J$6+'[8]Cracker Yields'!$K$6*'Financial Model (84 Months)'!I15</f>
        <v>12105.081666666669</v>
      </c>
      <c r="J18" s="701">
        <f>J12*'[8]Cracker Yields'!$H$6+'[8]Cracker Yields'!$I$6*'Financial Model (84 Months)'!J13+'Financial Model (84 Months)'!J14*'[8]Cracker Yields'!$J$6+'[8]Cracker Yields'!$K$6*'Financial Model (84 Months)'!J15</f>
        <v>12105.081666666669</v>
      </c>
      <c r="K18" s="701">
        <f>K12*'[8]Cracker Yields'!$H$6+'[8]Cracker Yields'!$I$6*'Financial Model (84 Months)'!K13+'Financial Model (84 Months)'!K14*'[8]Cracker Yields'!$J$6+'[8]Cracker Yields'!$K$6*'Financial Model (84 Months)'!K15</f>
        <v>12105.081666666669</v>
      </c>
      <c r="L18" s="701">
        <f>L12*'[8]Cracker Yields'!$H$6+'[8]Cracker Yields'!$I$6*'Financial Model (84 Months)'!L13+'Financial Model (84 Months)'!L14*'[8]Cracker Yields'!$J$6+'[8]Cracker Yields'!$K$6*'Financial Model (84 Months)'!L15</f>
        <v>12105.081666666669</v>
      </c>
      <c r="M18" s="701">
        <f>M12*'[8]Cracker Yields'!$H$6+'[8]Cracker Yields'!$I$6*'Financial Model (84 Months)'!M13+'Financial Model (84 Months)'!M14*'[8]Cracker Yields'!$J$6+'[8]Cracker Yields'!$K$6*'Financial Model (84 Months)'!M15</f>
        <v>12105.081666666669</v>
      </c>
      <c r="N18" s="701">
        <f>N12*'[8]Cracker Yields'!$H$6+'[8]Cracker Yields'!$I$6*'Financial Model (84 Months)'!N13+'Financial Model (84 Months)'!N14*'[8]Cracker Yields'!$J$6+'[8]Cracker Yields'!$K$6*'Financial Model (84 Months)'!N15</f>
        <v>12105.081666666669</v>
      </c>
      <c r="O18" s="701">
        <f>O12*'[8]Cracker Yields'!$H$6+'[8]Cracker Yields'!$I$6*'Financial Model (84 Months)'!O13+'Financial Model (84 Months)'!O14*'[8]Cracker Yields'!$J$6+'[8]Cracker Yields'!$K$6*'Financial Model (84 Months)'!O15</f>
        <v>12105.081666666669</v>
      </c>
      <c r="P18" s="701">
        <f>P12*'[8]Cracker Yields'!$H$6+'[8]Cracker Yields'!$I$6*'Financial Model (84 Months)'!P13+'Financial Model (84 Months)'!P14*'[8]Cracker Yields'!$J$6+'[8]Cracker Yields'!$K$6*'Financial Model (84 Months)'!P15</f>
        <v>12105.081666666669</v>
      </c>
      <c r="Q18" s="701">
        <f>Q12*'[8]Cracker Yields'!$H$6+'[8]Cracker Yields'!$I$6*'Financial Model (84 Months)'!Q13+'Financial Model (84 Months)'!Q14*'[8]Cracker Yields'!$J$6+'[8]Cracker Yields'!$K$6*'Financial Model (84 Months)'!Q15</f>
        <v>12105.081666666669</v>
      </c>
      <c r="R18" s="701">
        <f>R12*'[8]Cracker Yields'!$H$6+'[8]Cracker Yields'!$I$6*'Financial Model (84 Months)'!R13+'Financial Model (84 Months)'!R14*'[8]Cracker Yields'!$J$6+'[8]Cracker Yields'!$K$6*'Financial Model (84 Months)'!R15</f>
        <v>12105.081666666669</v>
      </c>
      <c r="S18" s="701">
        <f>S12*'[8]Cracker Yields'!$H$6+'[8]Cracker Yields'!$I$6*'Financial Model (84 Months)'!S13+'Financial Model (84 Months)'!S14*'[8]Cracker Yields'!$J$6+'[8]Cracker Yields'!$K$6*'Financial Model (84 Months)'!S15</f>
        <v>12105.081666666669</v>
      </c>
      <c r="T18" s="702">
        <f>T12*'[8]Cracker Yields'!$H$6+'[8]Cracker Yields'!$I$6*'Financial Model (84 Months)'!T13+'Financial Model (84 Months)'!T14*'[8]Cracker Yields'!$J$6+'[8]Cracker Yields'!$K$6*'Financial Model (84 Months)'!T15</f>
        <v>12105.081666666669</v>
      </c>
      <c r="U18" s="701">
        <f>U12*'[8]Cracker Yields'!$H$6+'[8]Cracker Yields'!$I$6*'Financial Model (84 Months)'!U13+'Financial Model (84 Months)'!U14*'[8]Cracker Yields'!$J$6+'[8]Cracker Yields'!$K$6*'Financial Model (84 Months)'!U15</f>
        <v>12105.081666666669</v>
      </c>
      <c r="V18" s="702">
        <f>V12*'[8]Cracker Yields'!$H$6+'[8]Cracker Yields'!$I$6*'Financial Model (84 Months)'!V13+'Financial Model (84 Months)'!V14*'[8]Cracker Yields'!$J$6+'[8]Cracker Yields'!$K$6*'Financial Model (84 Months)'!V15</f>
        <v>12105.081666666669</v>
      </c>
      <c r="W18" s="701">
        <f>W12*'[8]Cracker Yields'!$H$6+'[8]Cracker Yields'!$I$6*'Financial Model (84 Months)'!W13+'Financial Model (84 Months)'!W14*'[8]Cracker Yields'!$J$6+'[8]Cracker Yields'!$K$6*'Financial Model (84 Months)'!W15</f>
        <v>12105.081666666669</v>
      </c>
      <c r="X18" s="702">
        <f>X12*'[8]Cracker Yields'!$H$6+'[8]Cracker Yields'!$I$6*'Financial Model (84 Months)'!X13+'Financial Model (84 Months)'!X14*'[8]Cracker Yields'!$J$6+'[8]Cracker Yields'!$K$6*'Financial Model (84 Months)'!X15</f>
        <v>12105.081666666669</v>
      </c>
      <c r="Y18" s="701">
        <f>Y12*'[8]Cracker Yields'!$H$6+'[8]Cracker Yields'!$I$6*'Financial Model (84 Months)'!Y13+'Financial Model (84 Months)'!Y14*'[8]Cracker Yields'!$J$6+'[8]Cracker Yields'!$K$6*'Financial Model (84 Months)'!Y15</f>
        <v>12105.081666666669</v>
      </c>
      <c r="Z18" s="702">
        <f>Z12*'[8]Cracker Yields'!$H$6+'[8]Cracker Yields'!$I$6*'Financial Model (84 Months)'!Z13+'Financial Model (84 Months)'!Z14*'[8]Cracker Yields'!$J$6+'[8]Cracker Yields'!$K$6*'Financial Model (84 Months)'!Z15</f>
        <v>12105.081666666669</v>
      </c>
      <c r="AA18" s="701">
        <f>AA12*'[8]Cracker Yields'!$H$6+'[8]Cracker Yields'!$I$6*'Financial Model (84 Months)'!AA13+'Financial Model (84 Months)'!AA14*'[8]Cracker Yields'!$J$6+'[8]Cracker Yields'!$K$6*'Financial Model (84 Months)'!AA15</f>
        <v>12105.081666666669</v>
      </c>
      <c r="AB18" s="702">
        <f>AB12*'[8]Cracker Yields'!$H$6+'[8]Cracker Yields'!$I$6*'Financial Model (84 Months)'!AB13+'Financial Model (84 Months)'!AB14*'[8]Cracker Yields'!$J$6+'[8]Cracker Yields'!$K$6*'Financial Model (84 Months)'!AB15</f>
        <v>12105.081666666669</v>
      </c>
      <c r="AC18" s="701">
        <f>AC12*'[8]Cracker Yields'!$H$6+'[8]Cracker Yields'!$I$6*'Financial Model (84 Months)'!AC13+'Financial Model (84 Months)'!AC14*'[8]Cracker Yields'!$J$6+'[8]Cracker Yields'!$K$6*'Financial Model (84 Months)'!AC15</f>
        <v>12105.081666666669</v>
      </c>
      <c r="AD18" s="702">
        <f>AD12*'[8]Cracker Yields'!$H$6+'[8]Cracker Yields'!$I$6*'Financial Model (84 Months)'!AD13+'Financial Model (84 Months)'!AD14*'[8]Cracker Yields'!$J$6+'[8]Cracker Yields'!$K$6*'Financial Model (84 Months)'!AD15</f>
        <v>12105.081666666669</v>
      </c>
      <c r="AE18" s="701">
        <f>AE12*'[8]Cracker Yields'!$H$6+'[8]Cracker Yields'!$I$6*'Financial Model (84 Months)'!AE13+'Financial Model (84 Months)'!AE14*'[8]Cracker Yields'!$J$6+'[8]Cracker Yields'!$K$6*'Financial Model (84 Months)'!AE15</f>
        <v>12105.081666666669</v>
      </c>
      <c r="AF18" s="702">
        <f>AF12*'[8]Cracker Yields'!$H$6+'[8]Cracker Yields'!$I$6*'Financial Model (84 Months)'!AF13+'Financial Model (84 Months)'!AF14*'[8]Cracker Yields'!$J$6+'[8]Cracker Yields'!$K$6*'Financial Model (84 Months)'!AF15</f>
        <v>12105.081666666669</v>
      </c>
      <c r="AG18" s="701">
        <f>AG12*'[8]Cracker Yields'!$H$6+'[8]Cracker Yields'!$I$6*'Financial Model (84 Months)'!AG13+'Financial Model (84 Months)'!AG14*'[8]Cracker Yields'!$J$6+'[8]Cracker Yields'!$K$6*'Financial Model (84 Months)'!AG15</f>
        <v>12105.081666666669</v>
      </c>
      <c r="AH18" s="702">
        <f>AH12*'[8]Cracker Yields'!$H$6+'[8]Cracker Yields'!$I$6*'Financial Model (84 Months)'!AH13+'Financial Model (84 Months)'!AH14*'[8]Cracker Yields'!$J$6+'[8]Cracker Yields'!$K$6*'Financial Model (84 Months)'!AH15</f>
        <v>12105.081666666669</v>
      </c>
      <c r="AI18" s="701">
        <f>AI12*'[8]Cracker Yields'!$H$6+'[8]Cracker Yields'!$I$6*'Financial Model (84 Months)'!AI13+'Financial Model (84 Months)'!AI14*'[8]Cracker Yields'!$J$6+'[8]Cracker Yields'!$K$6*'Financial Model (84 Months)'!AI15</f>
        <v>12105.081666666669</v>
      </c>
      <c r="AJ18" s="702">
        <f>AJ12*'[8]Cracker Yields'!$H$6+'[8]Cracker Yields'!$I$6*'Financial Model (84 Months)'!AJ13+'Financial Model (84 Months)'!AJ14*'[8]Cracker Yields'!$J$6+'[8]Cracker Yields'!$K$6*'Financial Model (84 Months)'!AJ15</f>
        <v>12105.081666666669</v>
      </c>
      <c r="AK18" s="701">
        <f>AK12*'[8]Cracker Yields'!$H$6+'[8]Cracker Yields'!$I$6*'Financial Model (84 Months)'!AK13+'Financial Model (84 Months)'!AK14*'[8]Cracker Yields'!$J$6+'[8]Cracker Yields'!$K$6*'Financial Model (84 Months)'!AK15</f>
        <v>12105.081666666669</v>
      </c>
      <c r="AL18" s="702">
        <f>AL12*'[8]Cracker Yields'!$H$6+'[8]Cracker Yields'!$I$6*'Financial Model (84 Months)'!AL13+'Financial Model (84 Months)'!AL14*'[8]Cracker Yields'!$J$6+'[8]Cracker Yields'!$K$6*'Financial Model (84 Months)'!AL15</f>
        <v>12105.081666666669</v>
      </c>
      <c r="AM18" s="701">
        <f>AM12*'[8]Cracker Yields'!$H$6+'[8]Cracker Yields'!$I$6*'Financial Model (84 Months)'!AM13+'Financial Model (84 Months)'!AM14*'[8]Cracker Yields'!$J$6+'[8]Cracker Yields'!$K$6*'Financial Model (84 Months)'!AM15</f>
        <v>12105.081666666669</v>
      </c>
      <c r="AN18" s="702">
        <f>AN12*'[8]Cracker Yields'!$H$6+'[8]Cracker Yields'!$I$6*'Financial Model (84 Months)'!AN13+'Financial Model (84 Months)'!AN14*'[8]Cracker Yields'!$J$6+'[8]Cracker Yields'!$K$6*'Financial Model (84 Months)'!AN15</f>
        <v>12105.081666666669</v>
      </c>
      <c r="AO18" s="701">
        <f>AO12*'[8]Cracker Yields'!$H$6+'[8]Cracker Yields'!$I$6*'Financial Model (84 Months)'!AO13+'Financial Model (84 Months)'!AO14*'[8]Cracker Yields'!$J$6+'[8]Cracker Yields'!$K$6*'Financial Model (84 Months)'!AO15</f>
        <v>12105.081666666669</v>
      </c>
      <c r="AP18" s="702">
        <f>AP12*'[8]Cracker Yields'!$H$6+'[8]Cracker Yields'!$I$6*'Financial Model (84 Months)'!AP13+'Financial Model (84 Months)'!AP14*'[8]Cracker Yields'!$J$6+'[8]Cracker Yields'!$K$6*'Financial Model (84 Months)'!AP15</f>
        <v>12105.081666666669</v>
      </c>
      <c r="AQ18" s="701">
        <f>AQ12*'[8]Cracker Yields'!$H$6+'[8]Cracker Yields'!$I$6*'Financial Model (84 Months)'!AQ13+'Financial Model (84 Months)'!AQ14*'[8]Cracker Yields'!$J$6+'[8]Cracker Yields'!$K$6*'Financial Model (84 Months)'!AQ15</f>
        <v>12105.081666666669</v>
      </c>
      <c r="AR18" s="702">
        <f>AR12*'[8]Cracker Yields'!$H$6+'[8]Cracker Yields'!$I$6*'Financial Model (84 Months)'!AR13+'Financial Model (84 Months)'!AR14*'[8]Cracker Yields'!$J$6+'[8]Cracker Yields'!$K$6*'Financial Model (84 Months)'!AR15</f>
        <v>12105.081666666669</v>
      </c>
      <c r="AS18" s="701">
        <f>AS12*'[8]Cracker Yields'!$H$6+'[8]Cracker Yields'!$I$6*'Financial Model (84 Months)'!AS13+'Financial Model (84 Months)'!AS14*'[8]Cracker Yields'!$J$6+'[8]Cracker Yields'!$K$6*'Financial Model (84 Months)'!AS15</f>
        <v>12105.081666666669</v>
      </c>
      <c r="AT18" s="702">
        <f>AT12*'[8]Cracker Yields'!$H$6+'[8]Cracker Yields'!$I$6*'Financial Model (84 Months)'!AT13+'Financial Model (84 Months)'!AT14*'[8]Cracker Yields'!$J$6+'[8]Cracker Yields'!$K$6*'Financial Model (84 Months)'!AT15</f>
        <v>12105.081666666669</v>
      </c>
      <c r="AU18" s="701">
        <f>AU12*'[8]Cracker Yields'!$H$6+'[8]Cracker Yields'!$I$6*'Financial Model (84 Months)'!AU13+'Financial Model (84 Months)'!AU14*'[8]Cracker Yields'!$J$6+'[8]Cracker Yields'!$K$6*'Financial Model (84 Months)'!AU15</f>
        <v>12105.081666666669</v>
      </c>
      <c r="AV18" s="701">
        <f>AV12*'[8]Cracker Yields'!$H$6+'[8]Cracker Yields'!$I$6*'Financial Model (84 Months)'!AV13+'Financial Model (84 Months)'!AV14*'[8]Cracker Yields'!$J$6+'[8]Cracker Yields'!$K$6*'Financial Model (84 Months)'!AV15</f>
        <v>12105.081666666669</v>
      </c>
      <c r="AW18" s="701">
        <f>AW12*'[8]Cracker Yields'!$H$6+'[8]Cracker Yields'!$I$6*'Financial Model (84 Months)'!AW13+'Financial Model (84 Months)'!AW14*'[8]Cracker Yields'!$J$6+'[8]Cracker Yields'!$K$6*'Financial Model (84 Months)'!AW15</f>
        <v>12105.081666666669</v>
      </c>
      <c r="AX18" s="701">
        <f>AX12*'[8]Cracker Yields'!$H$6+'[8]Cracker Yields'!$I$6*'Financial Model (84 Months)'!AX13+'Financial Model (84 Months)'!AX14*'[8]Cracker Yields'!$J$6+'[8]Cracker Yields'!$K$6*'Financial Model (84 Months)'!AX15</f>
        <v>12105.081666666669</v>
      </c>
      <c r="AY18" s="701">
        <f>AY12*'[8]Cracker Yields'!$H$6+'[8]Cracker Yields'!$I$6*'Financial Model (84 Months)'!AY13+'Financial Model (84 Months)'!AY14*'[8]Cracker Yields'!$J$6+'[8]Cracker Yields'!$K$6*'Financial Model (84 Months)'!AY15</f>
        <v>12105.081666666669</v>
      </c>
      <c r="AZ18" s="701">
        <f>AZ12*'[8]Cracker Yields'!$H$6+'[8]Cracker Yields'!$I$6*'Financial Model (84 Months)'!AZ13+'Financial Model (84 Months)'!AZ14*'[8]Cracker Yields'!$J$6+'[8]Cracker Yields'!$K$6*'Financial Model (84 Months)'!AZ15</f>
        <v>12105.081666666669</v>
      </c>
      <c r="BA18" s="701">
        <f>BA12*'[8]Cracker Yields'!$H$6+'[8]Cracker Yields'!$I$6*'Financial Model (84 Months)'!BA13+'Financial Model (84 Months)'!BA14*'[8]Cracker Yields'!$J$6+'[8]Cracker Yields'!$K$6*'Financial Model (84 Months)'!BA15</f>
        <v>12105.081666666669</v>
      </c>
      <c r="BB18" s="701">
        <f>BB12*'[8]Cracker Yields'!$H$6+'[8]Cracker Yields'!$I$6*'Financial Model (84 Months)'!BB13+'Financial Model (84 Months)'!BB14*'[8]Cracker Yields'!$J$6+'[8]Cracker Yields'!$K$6*'Financial Model (84 Months)'!BB15</f>
        <v>12105.081666666669</v>
      </c>
      <c r="BC18" s="701">
        <f>BC12*'[8]Cracker Yields'!$H$6+'[8]Cracker Yields'!$I$6*'Financial Model (84 Months)'!BC13+'Financial Model (84 Months)'!BC14*'[8]Cracker Yields'!$J$6+'[8]Cracker Yields'!$K$6*'Financial Model (84 Months)'!BC15</f>
        <v>12105.081666666669</v>
      </c>
      <c r="BD18" s="701">
        <f>BD12*'[8]Cracker Yields'!$H$6+'[8]Cracker Yields'!$I$6*'Financial Model (84 Months)'!BD13+'Financial Model (84 Months)'!BD14*'[8]Cracker Yields'!$J$6+'[8]Cracker Yields'!$K$6*'Financial Model (84 Months)'!BD15</f>
        <v>12105.081666666669</v>
      </c>
      <c r="BE18" s="701">
        <f>BE12*'[8]Cracker Yields'!$H$6+'[8]Cracker Yields'!$I$6*'Financial Model (84 Months)'!BE13+'Financial Model (84 Months)'!BE14*'[8]Cracker Yields'!$J$6+'[8]Cracker Yields'!$K$6*'Financial Model (84 Months)'!BE15</f>
        <v>12105.081666666669</v>
      </c>
      <c r="BF18" s="701">
        <f>BF12*'[8]Cracker Yields'!$H$6+'[8]Cracker Yields'!$I$6*'Financial Model (84 Months)'!BF13+'Financial Model (84 Months)'!BF14*'[8]Cracker Yields'!$J$6+'[8]Cracker Yields'!$K$6*'Financial Model (84 Months)'!BF15</f>
        <v>12105.081666666669</v>
      </c>
      <c r="BG18" s="701">
        <f>BG12*'[8]Cracker Yields'!$H$6+'[8]Cracker Yields'!$I$6*'Financial Model (84 Months)'!BG13+'Financial Model (84 Months)'!BG14*'[8]Cracker Yields'!$J$6+'[8]Cracker Yields'!$K$6*'Financial Model (84 Months)'!BG15</f>
        <v>12105.081666666669</v>
      </c>
      <c r="BH18" s="701">
        <f>BH12*'[8]Cracker Yields'!$H$6+'[8]Cracker Yields'!$I$6*'Financial Model (84 Months)'!BH13+'Financial Model (84 Months)'!BH14*'[8]Cracker Yields'!$J$6+'[8]Cracker Yields'!$K$6*'Financial Model (84 Months)'!BH15</f>
        <v>12105.081666666669</v>
      </c>
      <c r="BI18" s="701">
        <f>BI12*'[8]Cracker Yields'!$H$6+'[8]Cracker Yields'!$I$6*'Financial Model (84 Months)'!BI13+'Financial Model (84 Months)'!BI14*'[8]Cracker Yields'!$J$6+'[8]Cracker Yields'!$K$6*'Financial Model (84 Months)'!BI15</f>
        <v>12105.081666666669</v>
      </c>
      <c r="BJ18" s="701">
        <f>BJ12*'[8]Cracker Yields'!$H$6+'[8]Cracker Yields'!$I$6*'Financial Model (84 Months)'!BJ13+'Financial Model (84 Months)'!BJ14*'[8]Cracker Yields'!$J$6+'[8]Cracker Yields'!$K$6*'Financial Model (84 Months)'!BJ15</f>
        <v>12105.081666666669</v>
      </c>
      <c r="BK18" s="701">
        <f>BK12*'[8]Cracker Yields'!$H$6+'[8]Cracker Yields'!$I$6*'Financial Model (84 Months)'!BK13+'Financial Model (84 Months)'!BK14*'[8]Cracker Yields'!$J$6+'[8]Cracker Yields'!$K$6*'Financial Model (84 Months)'!BK15</f>
        <v>12105.081666666669</v>
      </c>
      <c r="BL18" s="701">
        <f>BL12*'[8]Cracker Yields'!$H$6+'[8]Cracker Yields'!$I$6*'Financial Model (84 Months)'!BL13+'Financial Model (84 Months)'!BL14*'[8]Cracker Yields'!$J$6+'[8]Cracker Yields'!$K$6*'Financial Model (84 Months)'!BL15</f>
        <v>12105.081666666669</v>
      </c>
      <c r="BM18" s="701">
        <f>BM12*'[8]Cracker Yields'!$H$6+'[8]Cracker Yields'!$I$6*'Financial Model (84 Months)'!BM13+'Financial Model (84 Months)'!BM14*'[8]Cracker Yields'!$J$6+'[8]Cracker Yields'!$K$6*'Financial Model (84 Months)'!BM15</f>
        <v>12105.081666666669</v>
      </c>
      <c r="BN18" s="701">
        <f>BN12*'[8]Cracker Yields'!$H$6+'[8]Cracker Yields'!$I$6*'Financial Model (84 Months)'!BN13+'Financial Model (84 Months)'!BN14*'[8]Cracker Yields'!$J$6+'[8]Cracker Yields'!$K$6*'Financial Model (84 Months)'!BN15</f>
        <v>12105.081666666669</v>
      </c>
      <c r="BO18" s="701">
        <f>BO12*'[8]Cracker Yields'!$H$6+'[8]Cracker Yields'!$I$6*'Financial Model (84 Months)'!BO13+'Financial Model (84 Months)'!BO14*'[8]Cracker Yields'!$J$6+'[8]Cracker Yields'!$K$6*'Financial Model (84 Months)'!BO15</f>
        <v>12105.081666666669</v>
      </c>
      <c r="BP18" s="701">
        <f>BP12*'[8]Cracker Yields'!$H$6+'[8]Cracker Yields'!$I$6*'Financial Model (84 Months)'!BP13+'Financial Model (84 Months)'!BP14*'[8]Cracker Yields'!$J$6+'[8]Cracker Yields'!$K$6*'Financial Model (84 Months)'!BP15</f>
        <v>12105.081666666669</v>
      </c>
      <c r="BQ18" s="701">
        <f>BQ12*'[8]Cracker Yields'!$H$6+'[8]Cracker Yields'!$I$6*'Financial Model (84 Months)'!BQ13+'Financial Model (84 Months)'!BQ14*'[8]Cracker Yields'!$J$6+'[8]Cracker Yields'!$K$6*'Financial Model (84 Months)'!BQ15</f>
        <v>12105.081666666669</v>
      </c>
      <c r="BR18" s="701">
        <f>BR12*'[8]Cracker Yields'!$H$6+'[8]Cracker Yields'!$I$6*'Financial Model (84 Months)'!BR13+'Financial Model (84 Months)'!BR14*'[8]Cracker Yields'!$J$6+'[8]Cracker Yields'!$K$6*'Financial Model (84 Months)'!BR15</f>
        <v>12105.081666666669</v>
      </c>
      <c r="BS18" s="701">
        <f>BS12*'[8]Cracker Yields'!$H$6+'[8]Cracker Yields'!$I$6*'Financial Model (84 Months)'!BS13+'Financial Model (84 Months)'!BS14*'[8]Cracker Yields'!$J$6+'[8]Cracker Yields'!$K$6*'Financial Model (84 Months)'!BS15</f>
        <v>12105.081666666669</v>
      </c>
      <c r="BT18" s="701">
        <f>BT12*'[8]Cracker Yields'!$H$6+'[8]Cracker Yields'!$I$6*'Financial Model (84 Months)'!BT13+'Financial Model (84 Months)'!BT14*'[8]Cracker Yields'!$J$6+'[8]Cracker Yields'!$K$6*'Financial Model (84 Months)'!BT15</f>
        <v>12105.081666666669</v>
      </c>
      <c r="BU18" s="701">
        <f>BU12*'[8]Cracker Yields'!$H$6+'[8]Cracker Yields'!$I$6*'Financial Model (84 Months)'!BU13+'Financial Model (84 Months)'!BU14*'[8]Cracker Yields'!$J$6+'[8]Cracker Yields'!$K$6*'Financial Model (84 Months)'!BU15</f>
        <v>12105.081666666669</v>
      </c>
      <c r="BV18" s="701">
        <f>BV12*'[8]Cracker Yields'!$H$6+'[8]Cracker Yields'!$I$6*'Financial Model (84 Months)'!BV13+'Financial Model (84 Months)'!BV14*'[8]Cracker Yields'!$J$6+'[8]Cracker Yields'!$K$6*'Financial Model (84 Months)'!BV15</f>
        <v>12105.081666666669</v>
      </c>
      <c r="BW18" s="701">
        <f>BW12*'[8]Cracker Yields'!$H$6+'[8]Cracker Yields'!$I$6*'Financial Model (84 Months)'!BW13+'Financial Model (84 Months)'!BW14*'[8]Cracker Yields'!$J$6+'[8]Cracker Yields'!$K$6*'Financial Model (84 Months)'!BW15</f>
        <v>12105.081666666669</v>
      </c>
      <c r="BX18" s="701">
        <f>BX12*'[8]Cracker Yields'!$H$6+'[8]Cracker Yields'!$I$6*'Financial Model (84 Months)'!BX13+'Financial Model (84 Months)'!BX14*'[8]Cracker Yields'!$J$6+'[8]Cracker Yields'!$K$6*'Financial Model (84 Months)'!BX15</f>
        <v>12105.081666666669</v>
      </c>
      <c r="BY18" s="701">
        <f>BY12*'[8]Cracker Yields'!$H$6+'[8]Cracker Yields'!$I$6*'Financial Model (84 Months)'!BY13+'Financial Model (84 Months)'!BY14*'[8]Cracker Yields'!$J$6+'[8]Cracker Yields'!$K$6*'Financial Model (84 Months)'!BY15</f>
        <v>12105.081666666669</v>
      </c>
      <c r="BZ18" s="701">
        <f>BZ12*'[8]Cracker Yields'!$H$6+'[8]Cracker Yields'!$I$6*'Financial Model (84 Months)'!BZ13+'Financial Model (84 Months)'!BZ14*'[8]Cracker Yields'!$J$6+'[8]Cracker Yields'!$K$6*'Financial Model (84 Months)'!BZ15</f>
        <v>12105.081666666669</v>
      </c>
      <c r="CA18" s="701">
        <f>CA12*'[8]Cracker Yields'!$H$6+'[8]Cracker Yields'!$I$6*'Financial Model (84 Months)'!CA13+'Financial Model (84 Months)'!CA14*'[8]Cracker Yields'!$J$6+'[8]Cracker Yields'!$K$6*'Financial Model (84 Months)'!CA15</f>
        <v>12105.081666666669</v>
      </c>
      <c r="CB18" s="701">
        <f>CB12*'[8]Cracker Yields'!$H$6+'[8]Cracker Yields'!$I$6*'Financial Model (84 Months)'!CB13+'Financial Model (84 Months)'!CB14*'[8]Cracker Yields'!$J$6+'[8]Cracker Yields'!$K$6*'Financial Model (84 Months)'!CB15</f>
        <v>12105.081666666669</v>
      </c>
      <c r="CC18" s="701">
        <f>CC12*'[8]Cracker Yields'!$H$6+'[8]Cracker Yields'!$I$6*'Financial Model (84 Months)'!CC13+'Financial Model (84 Months)'!CC14*'[8]Cracker Yields'!$J$6+'[8]Cracker Yields'!$K$6*'Financial Model (84 Months)'!CC15</f>
        <v>12105.081666666669</v>
      </c>
      <c r="CD18" s="701">
        <f>CD12*'[8]Cracker Yields'!$H$6+'[8]Cracker Yields'!$I$6*'Financial Model (84 Months)'!CD13+'Financial Model (84 Months)'!CD14*'[8]Cracker Yields'!$J$6+'[8]Cracker Yields'!$K$6*'Financial Model (84 Months)'!CD15</f>
        <v>12105.081666666669</v>
      </c>
      <c r="CE18" s="701">
        <f>CE12*'[8]Cracker Yields'!$H$6+'[8]Cracker Yields'!$I$6*'Financial Model (84 Months)'!CE13+'Financial Model (84 Months)'!CE14*'[8]Cracker Yields'!$J$6+'[8]Cracker Yields'!$K$6*'Financial Model (84 Months)'!CE15</f>
        <v>12105.081666666669</v>
      </c>
      <c r="CF18" s="701">
        <f>CF12*'[8]Cracker Yields'!$H$6+'[8]Cracker Yields'!$I$6*'Financial Model (84 Months)'!CF13+'Financial Model (84 Months)'!CF14*'[8]Cracker Yields'!$J$6+'[8]Cracker Yields'!$K$6*'Financial Model (84 Months)'!CF15</f>
        <v>12105.081666666669</v>
      </c>
      <c r="CG18" s="701">
        <f>CG12*'[8]Cracker Yields'!$H$6+'[8]Cracker Yields'!$I$6*'Financial Model (84 Months)'!CG13+'Financial Model (84 Months)'!CG14*'[8]Cracker Yields'!$J$6+'[8]Cracker Yields'!$K$6*'Financial Model (84 Months)'!CG15</f>
        <v>12105.081666666669</v>
      </c>
      <c r="CH18" s="701">
        <f>CH12*'[8]Cracker Yields'!$H$6+'[8]Cracker Yields'!$I$6*'Financial Model (84 Months)'!CH13+'Financial Model (84 Months)'!CH14*'[8]Cracker Yields'!$J$6+'[8]Cracker Yields'!$K$6*'Financial Model (84 Months)'!CH15</f>
        <v>12105.081666666669</v>
      </c>
      <c r="CI18" s="701">
        <f>CI12*'[8]Cracker Yields'!$H$6+'[8]Cracker Yields'!$I$6*'Financial Model (84 Months)'!CI13+'Financial Model (84 Months)'!CI14*'[8]Cracker Yields'!$J$6+'[8]Cracker Yields'!$K$6*'Financial Model (84 Months)'!CI15</f>
        <v>12105.081666666669</v>
      </c>
      <c r="CJ18" s="701">
        <f>CJ12*'[8]Cracker Yields'!$H$6+'[8]Cracker Yields'!$I$6*'Financial Model (84 Months)'!CJ13+'Financial Model (84 Months)'!CJ14*'[8]Cracker Yields'!$J$6+'[8]Cracker Yields'!$K$6*'Financial Model (84 Months)'!CJ15</f>
        <v>12105.081666666669</v>
      </c>
      <c r="CK18" s="701">
        <f>CK12*'[8]Cracker Yields'!$H$6+'[8]Cracker Yields'!$I$6*'Financial Model (84 Months)'!CK13+'Financial Model (84 Months)'!CK14*'[8]Cracker Yields'!$J$6+'[8]Cracker Yields'!$K$6*'Financial Model (84 Months)'!CK15</f>
        <v>12105.081666666669</v>
      </c>
      <c r="CL18" s="703">
        <f>CL12*'[8]Cracker Yields'!$H$6+'[8]Cracker Yields'!$I$6*'Financial Model (84 Months)'!CL13+'Financial Model (84 Months)'!CL14*'[8]Cracker Yields'!$J$6+'[8]Cracker Yields'!$K$6*'Financial Model (84 Months)'!CL15</f>
        <v>12105.081666666669</v>
      </c>
      <c r="CM18" s="642">
        <f t="shared" si="0"/>
        <v>12105.081666666667</v>
      </c>
      <c r="CN18" s="245"/>
      <c r="CO18" s="245"/>
      <c r="CP18" s="245"/>
      <c r="CQ18" s="245"/>
      <c r="CR18" s="245"/>
      <c r="CS18" s="245"/>
      <c r="CT18" s="245"/>
      <c r="CU18" s="245"/>
      <c r="CV18" s="245"/>
      <c r="CW18" s="245"/>
      <c r="CX18" s="245"/>
      <c r="CY18" s="245"/>
      <c r="CZ18" s="245"/>
      <c r="DA18" s="245"/>
      <c r="DB18" s="245"/>
      <c r="DC18" s="245"/>
      <c r="DD18" s="245"/>
      <c r="DE18" s="245"/>
      <c r="DF18" s="245"/>
      <c r="DG18" s="245"/>
      <c r="DH18" s="245"/>
      <c r="DI18" s="245"/>
      <c r="DJ18" s="245"/>
      <c r="DK18" s="245"/>
      <c r="DL18" s="245"/>
      <c r="DM18" s="245"/>
      <c r="DN18" s="245"/>
      <c r="DO18" s="245"/>
      <c r="DP18" s="245"/>
      <c r="DQ18" s="245"/>
      <c r="DR18" s="245"/>
      <c r="DS18" s="245"/>
      <c r="DT18" s="245"/>
      <c r="DU18" s="245"/>
      <c r="DV18" s="245"/>
      <c r="DW18" s="245"/>
      <c r="DX18" s="245"/>
      <c r="DY18" s="245"/>
      <c r="DZ18" s="245"/>
      <c r="EA18" s="245"/>
      <c r="EB18" s="245"/>
      <c r="EC18" s="245"/>
      <c r="ED18" s="245"/>
      <c r="EE18" s="245"/>
      <c r="EF18" s="245"/>
      <c r="EG18" s="245"/>
      <c r="EH18" s="245"/>
      <c r="EI18" s="245"/>
      <c r="EJ18" s="245"/>
      <c r="EK18" s="245"/>
      <c r="EL18" s="245"/>
      <c r="EM18" s="245"/>
      <c r="EN18" s="245"/>
      <c r="EO18" s="245"/>
      <c r="EP18" s="245"/>
      <c r="EQ18" s="245"/>
      <c r="ER18" s="245"/>
      <c r="ES18" s="245"/>
      <c r="ET18" s="245"/>
      <c r="EU18" s="245"/>
      <c r="EV18" s="245"/>
      <c r="EW18" s="245"/>
      <c r="EX18" s="245"/>
      <c r="EY18" s="245"/>
      <c r="EZ18" s="245"/>
      <c r="FA18" s="245"/>
      <c r="FB18" s="245"/>
      <c r="FC18" s="245"/>
      <c r="FD18" s="245"/>
      <c r="FE18" s="245"/>
      <c r="FF18" s="245"/>
      <c r="FG18" s="245"/>
      <c r="FH18" s="245"/>
      <c r="FI18" s="245"/>
      <c r="FJ18" s="245"/>
      <c r="FK18" s="245"/>
      <c r="FL18" s="245"/>
      <c r="FM18" s="245"/>
      <c r="FN18" s="245"/>
      <c r="FO18" s="245"/>
      <c r="FP18" s="245"/>
      <c r="FQ18" s="245"/>
      <c r="FR18" s="245"/>
      <c r="FS18" s="245"/>
      <c r="FT18" s="245"/>
      <c r="FU18" s="245"/>
      <c r="FV18" s="245"/>
    </row>
    <row r="19" spans="1:178">
      <c r="A19" s="1041"/>
      <c r="B19" s="639" t="s">
        <v>312</v>
      </c>
      <c r="C19" s="640" t="s">
        <v>313</v>
      </c>
      <c r="D19" s="640"/>
      <c r="E19" s="1044"/>
      <c r="F19" s="700" t="str">
        <f>F8</f>
        <v xml:space="preserve"> 1,3 Butadiene </v>
      </c>
      <c r="G19" s="701">
        <f>G12*'[8]Cracker Yields'!$H$7+'[8]Cracker Yields'!$I$7*'Financial Model (84 Months)'!G13+'Financial Model (84 Months)'!G14*'[8]Cracker Yields'!$J$7+'[8]Cracker Yields'!$K$7*'Financial Model (84 Months)'!G15</f>
        <v>11641.716666666667</v>
      </c>
      <c r="H19" s="701">
        <f>H12*'[8]Cracker Yields'!$H$7+'[8]Cracker Yields'!$I$7*'Financial Model (84 Months)'!H13+'Financial Model (84 Months)'!H14*'[8]Cracker Yields'!$J$7+'[8]Cracker Yields'!$K$7*'Financial Model (84 Months)'!H15</f>
        <v>11641.716666666667</v>
      </c>
      <c r="I19" s="701">
        <f>I12*'[8]Cracker Yields'!$H$7+'[8]Cracker Yields'!$I$7*'Financial Model (84 Months)'!I13+'Financial Model (84 Months)'!I14*'[8]Cracker Yields'!$J$7+'[8]Cracker Yields'!$K$7*'Financial Model (84 Months)'!I15</f>
        <v>11641.716666666667</v>
      </c>
      <c r="J19" s="701">
        <f>J12*'[8]Cracker Yields'!$H$7+'[8]Cracker Yields'!$I$7*'Financial Model (84 Months)'!J13+'Financial Model (84 Months)'!J14*'[8]Cracker Yields'!$J$7+'[8]Cracker Yields'!$K$7*'Financial Model (84 Months)'!J15</f>
        <v>11641.716666666667</v>
      </c>
      <c r="K19" s="701">
        <f>K12*'[8]Cracker Yields'!$H$7+'[8]Cracker Yields'!$I$7*'Financial Model (84 Months)'!K13+'Financial Model (84 Months)'!K14*'[8]Cracker Yields'!$J$7+'[8]Cracker Yields'!$K$7*'Financial Model (84 Months)'!K15</f>
        <v>11641.716666666667</v>
      </c>
      <c r="L19" s="701">
        <f>L12*'[8]Cracker Yields'!$H$7+'[8]Cracker Yields'!$I$7*'Financial Model (84 Months)'!L13+'Financial Model (84 Months)'!L14*'[8]Cracker Yields'!$J$7+'[8]Cracker Yields'!$K$7*'Financial Model (84 Months)'!L15</f>
        <v>11641.716666666667</v>
      </c>
      <c r="M19" s="701">
        <f>M12*'[8]Cracker Yields'!$H$7+'[8]Cracker Yields'!$I$7*'Financial Model (84 Months)'!M13+'Financial Model (84 Months)'!M14*'[8]Cracker Yields'!$J$7+'[8]Cracker Yields'!$K$7*'Financial Model (84 Months)'!M15</f>
        <v>11641.716666666667</v>
      </c>
      <c r="N19" s="701">
        <f>N12*'[8]Cracker Yields'!$H$7+'[8]Cracker Yields'!$I$7*'Financial Model (84 Months)'!N13+'Financial Model (84 Months)'!N14*'[8]Cracker Yields'!$J$7+'[8]Cracker Yields'!$K$7*'Financial Model (84 Months)'!N15</f>
        <v>11641.716666666667</v>
      </c>
      <c r="O19" s="701">
        <f>O12*'[8]Cracker Yields'!$H$7+'[8]Cracker Yields'!$I$7*'Financial Model (84 Months)'!O13+'Financial Model (84 Months)'!O14*'[8]Cracker Yields'!$J$7+'[8]Cracker Yields'!$K$7*'Financial Model (84 Months)'!O15</f>
        <v>11641.716666666667</v>
      </c>
      <c r="P19" s="701">
        <f>P12*'[8]Cracker Yields'!$H$7+'[8]Cracker Yields'!$I$7*'Financial Model (84 Months)'!P13+'Financial Model (84 Months)'!P14*'[8]Cracker Yields'!$J$7+'[8]Cracker Yields'!$K$7*'Financial Model (84 Months)'!P15</f>
        <v>11641.716666666667</v>
      </c>
      <c r="Q19" s="701">
        <f>Q12*'[8]Cracker Yields'!$H$7+'[8]Cracker Yields'!$I$7*'Financial Model (84 Months)'!Q13+'Financial Model (84 Months)'!Q14*'[8]Cracker Yields'!$J$7+'[8]Cracker Yields'!$K$7*'Financial Model (84 Months)'!Q15</f>
        <v>11641.716666666667</v>
      </c>
      <c r="R19" s="701">
        <f>R12*'[8]Cracker Yields'!$H$7+'[8]Cracker Yields'!$I$7*'Financial Model (84 Months)'!R13+'Financial Model (84 Months)'!R14*'[8]Cracker Yields'!$J$7+'[8]Cracker Yields'!$K$7*'Financial Model (84 Months)'!R15</f>
        <v>11641.716666666667</v>
      </c>
      <c r="S19" s="701">
        <f>S12*'[8]Cracker Yields'!$H$7+'[8]Cracker Yields'!$I$7*'Financial Model (84 Months)'!S13+'Financial Model (84 Months)'!S14*'[8]Cracker Yields'!$J$7+'[8]Cracker Yields'!$K$7*'Financial Model (84 Months)'!S15</f>
        <v>11641.716666666667</v>
      </c>
      <c r="T19" s="702">
        <f>T12*'[8]Cracker Yields'!$H$7+'[8]Cracker Yields'!$I$7*'Financial Model (84 Months)'!T13+'Financial Model (84 Months)'!T14*'[8]Cracker Yields'!$J$7+'[8]Cracker Yields'!$K$7*'Financial Model (84 Months)'!T15</f>
        <v>11641.716666666667</v>
      </c>
      <c r="U19" s="701">
        <f>U12*'[8]Cracker Yields'!$H$7+'[8]Cracker Yields'!$I$7*'Financial Model (84 Months)'!U13+'Financial Model (84 Months)'!U14*'[8]Cracker Yields'!$J$7+'[8]Cracker Yields'!$K$7*'Financial Model (84 Months)'!U15</f>
        <v>11641.716666666667</v>
      </c>
      <c r="V19" s="702">
        <f>V12*'[8]Cracker Yields'!$H$7+'[8]Cracker Yields'!$I$7*'Financial Model (84 Months)'!V13+'Financial Model (84 Months)'!V14*'[8]Cracker Yields'!$J$7+'[8]Cracker Yields'!$K$7*'Financial Model (84 Months)'!V15</f>
        <v>11641.716666666667</v>
      </c>
      <c r="W19" s="701">
        <f>W12*'[8]Cracker Yields'!$H$7+'[8]Cracker Yields'!$I$7*'Financial Model (84 Months)'!W13+'Financial Model (84 Months)'!W14*'[8]Cracker Yields'!$J$7+'[8]Cracker Yields'!$K$7*'Financial Model (84 Months)'!W15</f>
        <v>11641.716666666667</v>
      </c>
      <c r="X19" s="702">
        <f>X12*'[8]Cracker Yields'!$H$7+'[8]Cracker Yields'!$I$7*'Financial Model (84 Months)'!X13+'Financial Model (84 Months)'!X14*'[8]Cracker Yields'!$J$7+'[8]Cracker Yields'!$K$7*'Financial Model (84 Months)'!X15</f>
        <v>11641.716666666667</v>
      </c>
      <c r="Y19" s="701">
        <f>Y12*'[8]Cracker Yields'!$H$7+'[8]Cracker Yields'!$I$7*'Financial Model (84 Months)'!Y13+'Financial Model (84 Months)'!Y14*'[8]Cracker Yields'!$J$7+'[8]Cracker Yields'!$K$7*'Financial Model (84 Months)'!Y15</f>
        <v>11641.716666666667</v>
      </c>
      <c r="Z19" s="702">
        <f>Z12*'[8]Cracker Yields'!$H$7+'[8]Cracker Yields'!$I$7*'Financial Model (84 Months)'!Z13+'Financial Model (84 Months)'!Z14*'[8]Cracker Yields'!$J$7+'[8]Cracker Yields'!$K$7*'Financial Model (84 Months)'!Z15</f>
        <v>11641.716666666667</v>
      </c>
      <c r="AA19" s="701">
        <f>AA12*'[8]Cracker Yields'!$H$7+'[8]Cracker Yields'!$I$7*'Financial Model (84 Months)'!AA13+'Financial Model (84 Months)'!AA14*'[8]Cracker Yields'!$J$7+'[8]Cracker Yields'!$K$7*'Financial Model (84 Months)'!AA15</f>
        <v>11641.716666666667</v>
      </c>
      <c r="AB19" s="702">
        <f>AB12*'[8]Cracker Yields'!$H$7+'[8]Cracker Yields'!$I$7*'Financial Model (84 Months)'!AB13+'Financial Model (84 Months)'!AB14*'[8]Cracker Yields'!$J$7+'[8]Cracker Yields'!$K$7*'Financial Model (84 Months)'!AB15</f>
        <v>11641.716666666667</v>
      </c>
      <c r="AC19" s="701">
        <f>AC12*'[8]Cracker Yields'!$H$7+'[8]Cracker Yields'!$I$7*'Financial Model (84 Months)'!AC13+'Financial Model (84 Months)'!AC14*'[8]Cracker Yields'!$J$7+'[8]Cracker Yields'!$K$7*'Financial Model (84 Months)'!AC15</f>
        <v>11641.716666666667</v>
      </c>
      <c r="AD19" s="702">
        <f>AD12*'[8]Cracker Yields'!$H$7+'[8]Cracker Yields'!$I$7*'Financial Model (84 Months)'!AD13+'Financial Model (84 Months)'!AD14*'[8]Cracker Yields'!$J$7+'[8]Cracker Yields'!$K$7*'Financial Model (84 Months)'!AD15</f>
        <v>11641.716666666667</v>
      </c>
      <c r="AE19" s="701">
        <f>AE12*'[8]Cracker Yields'!$H$7+'[8]Cracker Yields'!$I$7*'Financial Model (84 Months)'!AE13+'Financial Model (84 Months)'!AE14*'[8]Cracker Yields'!$J$7+'[8]Cracker Yields'!$K$7*'Financial Model (84 Months)'!AE15</f>
        <v>11641.716666666667</v>
      </c>
      <c r="AF19" s="702">
        <f>AF12*'[8]Cracker Yields'!$H$7+'[8]Cracker Yields'!$I$7*'Financial Model (84 Months)'!AF13+'Financial Model (84 Months)'!AF14*'[8]Cracker Yields'!$J$7+'[8]Cracker Yields'!$K$7*'Financial Model (84 Months)'!AF15</f>
        <v>11641.716666666667</v>
      </c>
      <c r="AG19" s="701">
        <f>AG12*'[8]Cracker Yields'!$H$7+'[8]Cracker Yields'!$I$7*'Financial Model (84 Months)'!AG13+'Financial Model (84 Months)'!AG14*'[8]Cracker Yields'!$J$7+'[8]Cracker Yields'!$K$7*'Financial Model (84 Months)'!AG15</f>
        <v>11641.716666666667</v>
      </c>
      <c r="AH19" s="702">
        <f>AH12*'[8]Cracker Yields'!$H$7+'[8]Cracker Yields'!$I$7*'Financial Model (84 Months)'!AH13+'Financial Model (84 Months)'!AH14*'[8]Cracker Yields'!$J$7+'[8]Cracker Yields'!$K$7*'Financial Model (84 Months)'!AH15</f>
        <v>11641.716666666667</v>
      </c>
      <c r="AI19" s="701">
        <f>AI12*'[8]Cracker Yields'!$H$7+'[8]Cracker Yields'!$I$7*'Financial Model (84 Months)'!AI13+'Financial Model (84 Months)'!AI14*'[8]Cracker Yields'!$J$7+'[8]Cracker Yields'!$K$7*'Financial Model (84 Months)'!AI15</f>
        <v>11641.716666666667</v>
      </c>
      <c r="AJ19" s="702">
        <f>AJ12*'[8]Cracker Yields'!$H$7+'[8]Cracker Yields'!$I$7*'Financial Model (84 Months)'!AJ13+'Financial Model (84 Months)'!AJ14*'[8]Cracker Yields'!$J$7+'[8]Cracker Yields'!$K$7*'Financial Model (84 Months)'!AJ15</f>
        <v>11641.716666666667</v>
      </c>
      <c r="AK19" s="701">
        <f>AK12*'[8]Cracker Yields'!$H$7+'[8]Cracker Yields'!$I$7*'Financial Model (84 Months)'!AK13+'Financial Model (84 Months)'!AK14*'[8]Cracker Yields'!$J$7+'[8]Cracker Yields'!$K$7*'Financial Model (84 Months)'!AK15</f>
        <v>11641.716666666667</v>
      </c>
      <c r="AL19" s="702">
        <f>AL12*'[8]Cracker Yields'!$H$7+'[8]Cracker Yields'!$I$7*'Financial Model (84 Months)'!AL13+'Financial Model (84 Months)'!AL14*'[8]Cracker Yields'!$J$7+'[8]Cracker Yields'!$K$7*'Financial Model (84 Months)'!AL15</f>
        <v>11641.716666666667</v>
      </c>
      <c r="AM19" s="701">
        <f>AM12*'[8]Cracker Yields'!$H$7+'[8]Cracker Yields'!$I$7*'Financial Model (84 Months)'!AM13+'Financial Model (84 Months)'!AM14*'[8]Cracker Yields'!$J$7+'[8]Cracker Yields'!$K$7*'Financial Model (84 Months)'!AM15</f>
        <v>11641.716666666667</v>
      </c>
      <c r="AN19" s="702">
        <f>AN12*'[8]Cracker Yields'!$H$7+'[8]Cracker Yields'!$I$7*'Financial Model (84 Months)'!AN13+'Financial Model (84 Months)'!AN14*'[8]Cracker Yields'!$J$7+'[8]Cracker Yields'!$K$7*'Financial Model (84 Months)'!AN15</f>
        <v>11641.716666666667</v>
      </c>
      <c r="AO19" s="701">
        <f>AO12*'[8]Cracker Yields'!$H$7+'[8]Cracker Yields'!$I$7*'Financial Model (84 Months)'!AO13+'Financial Model (84 Months)'!AO14*'[8]Cracker Yields'!$J$7+'[8]Cracker Yields'!$K$7*'Financial Model (84 Months)'!AO15</f>
        <v>11641.716666666667</v>
      </c>
      <c r="AP19" s="702">
        <f>AP12*'[8]Cracker Yields'!$H$7+'[8]Cracker Yields'!$I$7*'Financial Model (84 Months)'!AP13+'Financial Model (84 Months)'!AP14*'[8]Cracker Yields'!$J$7+'[8]Cracker Yields'!$K$7*'Financial Model (84 Months)'!AP15</f>
        <v>11641.716666666667</v>
      </c>
      <c r="AQ19" s="701">
        <f>AQ12*'[8]Cracker Yields'!$H$7+'[8]Cracker Yields'!$I$7*'Financial Model (84 Months)'!AQ13+'Financial Model (84 Months)'!AQ14*'[8]Cracker Yields'!$J$7+'[8]Cracker Yields'!$K$7*'Financial Model (84 Months)'!AQ15</f>
        <v>11641.716666666667</v>
      </c>
      <c r="AR19" s="702">
        <f>AR12*'[8]Cracker Yields'!$H$7+'[8]Cracker Yields'!$I$7*'Financial Model (84 Months)'!AR13+'Financial Model (84 Months)'!AR14*'[8]Cracker Yields'!$J$7+'[8]Cracker Yields'!$K$7*'Financial Model (84 Months)'!AR15</f>
        <v>11641.716666666667</v>
      </c>
      <c r="AS19" s="701">
        <f>AS12*'[8]Cracker Yields'!$H$7+'[8]Cracker Yields'!$I$7*'Financial Model (84 Months)'!AS13+'Financial Model (84 Months)'!AS14*'[8]Cracker Yields'!$J$7+'[8]Cracker Yields'!$K$7*'Financial Model (84 Months)'!AS15</f>
        <v>11641.716666666667</v>
      </c>
      <c r="AT19" s="702">
        <f>AT12*'[8]Cracker Yields'!$H$7+'[8]Cracker Yields'!$I$7*'Financial Model (84 Months)'!AT13+'Financial Model (84 Months)'!AT14*'[8]Cracker Yields'!$J$7+'[8]Cracker Yields'!$K$7*'Financial Model (84 Months)'!AT15</f>
        <v>11641.716666666667</v>
      </c>
      <c r="AU19" s="701">
        <f>AU12*'[8]Cracker Yields'!$H$7+'[8]Cracker Yields'!$I$7*'Financial Model (84 Months)'!AU13+'Financial Model (84 Months)'!AU14*'[8]Cracker Yields'!$J$7+'[8]Cracker Yields'!$K$7*'Financial Model (84 Months)'!AU15</f>
        <v>11641.716666666667</v>
      </c>
      <c r="AV19" s="701">
        <f>AV12*'[8]Cracker Yields'!$H$7+'[8]Cracker Yields'!$I$7*'Financial Model (84 Months)'!AV13+'Financial Model (84 Months)'!AV14*'[8]Cracker Yields'!$J$7+'[8]Cracker Yields'!$K$7*'Financial Model (84 Months)'!AV15</f>
        <v>11641.716666666667</v>
      </c>
      <c r="AW19" s="701">
        <f>AW12*'[8]Cracker Yields'!$H$7+'[8]Cracker Yields'!$I$7*'Financial Model (84 Months)'!AW13+'Financial Model (84 Months)'!AW14*'[8]Cracker Yields'!$J$7+'[8]Cracker Yields'!$K$7*'Financial Model (84 Months)'!AW15</f>
        <v>11641.716666666667</v>
      </c>
      <c r="AX19" s="701">
        <f>AX12*'[8]Cracker Yields'!$H$7+'[8]Cracker Yields'!$I$7*'Financial Model (84 Months)'!AX13+'Financial Model (84 Months)'!AX14*'[8]Cracker Yields'!$J$7+'[8]Cracker Yields'!$K$7*'Financial Model (84 Months)'!AX15</f>
        <v>11641.716666666667</v>
      </c>
      <c r="AY19" s="701">
        <f>AY12*'[8]Cracker Yields'!$H$7+'[8]Cracker Yields'!$I$7*'Financial Model (84 Months)'!AY13+'Financial Model (84 Months)'!AY14*'[8]Cracker Yields'!$J$7+'[8]Cracker Yields'!$K$7*'Financial Model (84 Months)'!AY15</f>
        <v>11641.716666666667</v>
      </c>
      <c r="AZ19" s="701">
        <f>AZ12*'[8]Cracker Yields'!$H$7+'[8]Cracker Yields'!$I$7*'Financial Model (84 Months)'!AZ13+'Financial Model (84 Months)'!AZ14*'[8]Cracker Yields'!$J$7+'[8]Cracker Yields'!$K$7*'Financial Model (84 Months)'!AZ15</f>
        <v>11641.716666666667</v>
      </c>
      <c r="BA19" s="701">
        <f>BA12*'[8]Cracker Yields'!$H$7+'[8]Cracker Yields'!$I$7*'Financial Model (84 Months)'!BA13+'Financial Model (84 Months)'!BA14*'[8]Cracker Yields'!$J$7+'[8]Cracker Yields'!$K$7*'Financial Model (84 Months)'!BA15</f>
        <v>11641.716666666667</v>
      </c>
      <c r="BB19" s="701">
        <f>BB12*'[8]Cracker Yields'!$H$7+'[8]Cracker Yields'!$I$7*'Financial Model (84 Months)'!BB13+'Financial Model (84 Months)'!BB14*'[8]Cracker Yields'!$J$7+'[8]Cracker Yields'!$K$7*'Financial Model (84 Months)'!BB15</f>
        <v>11641.716666666667</v>
      </c>
      <c r="BC19" s="701">
        <f>BC12*'[8]Cracker Yields'!$H$7+'[8]Cracker Yields'!$I$7*'Financial Model (84 Months)'!BC13+'Financial Model (84 Months)'!BC14*'[8]Cracker Yields'!$J$7+'[8]Cracker Yields'!$K$7*'Financial Model (84 Months)'!BC15</f>
        <v>11641.716666666667</v>
      </c>
      <c r="BD19" s="701">
        <f>BD12*'[8]Cracker Yields'!$H$7+'[8]Cracker Yields'!$I$7*'Financial Model (84 Months)'!BD13+'Financial Model (84 Months)'!BD14*'[8]Cracker Yields'!$J$7+'[8]Cracker Yields'!$K$7*'Financial Model (84 Months)'!BD15</f>
        <v>11641.716666666667</v>
      </c>
      <c r="BE19" s="701">
        <f>BE12*'[8]Cracker Yields'!$H$7+'[8]Cracker Yields'!$I$7*'Financial Model (84 Months)'!BE13+'Financial Model (84 Months)'!BE14*'[8]Cracker Yields'!$J$7+'[8]Cracker Yields'!$K$7*'Financial Model (84 Months)'!BE15</f>
        <v>11641.716666666667</v>
      </c>
      <c r="BF19" s="701">
        <f>BF12*'[8]Cracker Yields'!$H$7+'[8]Cracker Yields'!$I$7*'Financial Model (84 Months)'!BF13+'Financial Model (84 Months)'!BF14*'[8]Cracker Yields'!$J$7+'[8]Cracker Yields'!$K$7*'Financial Model (84 Months)'!BF15</f>
        <v>11641.716666666667</v>
      </c>
      <c r="BG19" s="701">
        <f>BG12*'[8]Cracker Yields'!$H$7+'[8]Cracker Yields'!$I$7*'Financial Model (84 Months)'!BG13+'Financial Model (84 Months)'!BG14*'[8]Cracker Yields'!$J$7+'[8]Cracker Yields'!$K$7*'Financial Model (84 Months)'!BG15</f>
        <v>11641.716666666667</v>
      </c>
      <c r="BH19" s="701">
        <f>BH12*'[8]Cracker Yields'!$H$7+'[8]Cracker Yields'!$I$7*'Financial Model (84 Months)'!BH13+'Financial Model (84 Months)'!BH14*'[8]Cracker Yields'!$J$7+'[8]Cracker Yields'!$K$7*'Financial Model (84 Months)'!BH15</f>
        <v>11641.716666666667</v>
      </c>
      <c r="BI19" s="701">
        <f>BI12*'[8]Cracker Yields'!$H$7+'[8]Cracker Yields'!$I$7*'Financial Model (84 Months)'!BI13+'Financial Model (84 Months)'!BI14*'[8]Cracker Yields'!$J$7+'[8]Cracker Yields'!$K$7*'Financial Model (84 Months)'!BI15</f>
        <v>11641.716666666667</v>
      </c>
      <c r="BJ19" s="701">
        <f>BJ12*'[8]Cracker Yields'!$H$7+'[8]Cracker Yields'!$I$7*'Financial Model (84 Months)'!BJ13+'Financial Model (84 Months)'!BJ14*'[8]Cracker Yields'!$J$7+'[8]Cracker Yields'!$K$7*'Financial Model (84 Months)'!BJ15</f>
        <v>11641.716666666667</v>
      </c>
      <c r="BK19" s="701">
        <f>BK12*'[8]Cracker Yields'!$H$7+'[8]Cracker Yields'!$I$7*'Financial Model (84 Months)'!BK13+'Financial Model (84 Months)'!BK14*'[8]Cracker Yields'!$J$7+'[8]Cracker Yields'!$K$7*'Financial Model (84 Months)'!BK15</f>
        <v>11641.716666666667</v>
      </c>
      <c r="BL19" s="701">
        <f>BL12*'[8]Cracker Yields'!$H$7+'[8]Cracker Yields'!$I$7*'Financial Model (84 Months)'!BL13+'Financial Model (84 Months)'!BL14*'[8]Cracker Yields'!$J$7+'[8]Cracker Yields'!$K$7*'Financial Model (84 Months)'!BL15</f>
        <v>11641.716666666667</v>
      </c>
      <c r="BM19" s="701">
        <f>BM12*'[8]Cracker Yields'!$H$7+'[8]Cracker Yields'!$I$7*'Financial Model (84 Months)'!BM13+'Financial Model (84 Months)'!BM14*'[8]Cracker Yields'!$J$7+'[8]Cracker Yields'!$K$7*'Financial Model (84 Months)'!BM15</f>
        <v>11641.716666666667</v>
      </c>
      <c r="BN19" s="701">
        <f>BN12*'[8]Cracker Yields'!$H$7+'[8]Cracker Yields'!$I$7*'Financial Model (84 Months)'!BN13+'Financial Model (84 Months)'!BN14*'[8]Cracker Yields'!$J$7+'[8]Cracker Yields'!$K$7*'Financial Model (84 Months)'!BN15</f>
        <v>11641.716666666667</v>
      </c>
      <c r="BO19" s="701">
        <f>BO12*'[8]Cracker Yields'!$H$7+'[8]Cracker Yields'!$I$7*'Financial Model (84 Months)'!BO13+'Financial Model (84 Months)'!BO14*'[8]Cracker Yields'!$J$7+'[8]Cracker Yields'!$K$7*'Financial Model (84 Months)'!BO15</f>
        <v>11641.716666666667</v>
      </c>
      <c r="BP19" s="701">
        <f>BP12*'[8]Cracker Yields'!$H$7+'[8]Cracker Yields'!$I$7*'Financial Model (84 Months)'!BP13+'Financial Model (84 Months)'!BP14*'[8]Cracker Yields'!$J$7+'[8]Cracker Yields'!$K$7*'Financial Model (84 Months)'!BP15</f>
        <v>11641.716666666667</v>
      </c>
      <c r="BQ19" s="701">
        <f>BQ12*'[8]Cracker Yields'!$H$7+'[8]Cracker Yields'!$I$7*'Financial Model (84 Months)'!BQ13+'Financial Model (84 Months)'!BQ14*'[8]Cracker Yields'!$J$7+'[8]Cracker Yields'!$K$7*'Financial Model (84 Months)'!BQ15</f>
        <v>11641.716666666667</v>
      </c>
      <c r="BR19" s="701">
        <f>BR12*'[8]Cracker Yields'!$H$7+'[8]Cracker Yields'!$I$7*'Financial Model (84 Months)'!BR13+'Financial Model (84 Months)'!BR14*'[8]Cracker Yields'!$J$7+'[8]Cracker Yields'!$K$7*'Financial Model (84 Months)'!BR15</f>
        <v>11641.716666666667</v>
      </c>
      <c r="BS19" s="701">
        <f>BS12*'[8]Cracker Yields'!$H$7+'[8]Cracker Yields'!$I$7*'Financial Model (84 Months)'!BS13+'Financial Model (84 Months)'!BS14*'[8]Cracker Yields'!$J$7+'[8]Cracker Yields'!$K$7*'Financial Model (84 Months)'!BS15</f>
        <v>11641.716666666667</v>
      </c>
      <c r="BT19" s="701">
        <f>BT12*'[8]Cracker Yields'!$H$7+'[8]Cracker Yields'!$I$7*'Financial Model (84 Months)'!BT13+'Financial Model (84 Months)'!BT14*'[8]Cracker Yields'!$J$7+'[8]Cracker Yields'!$K$7*'Financial Model (84 Months)'!BT15</f>
        <v>11641.716666666667</v>
      </c>
      <c r="BU19" s="701">
        <f>BU12*'[8]Cracker Yields'!$H$7+'[8]Cracker Yields'!$I$7*'Financial Model (84 Months)'!BU13+'Financial Model (84 Months)'!BU14*'[8]Cracker Yields'!$J$7+'[8]Cracker Yields'!$K$7*'Financial Model (84 Months)'!BU15</f>
        <v>11641.716666666667</v>
      </c>
      <c r="BV19" s="701">
        <f>BV12*'[8]Cracker Yields'!$H$7+'[8]Cracker Yields'!$I$7*'Financial Model (84 Months)'!BV13+'Financial Model (84 Months)'!BV14*'[8]Cracker Yields'!$J$7+'[8]Cracker Yields'!$K$7*'Financial Model (84 Months)'!BV15</f>
        <v>11641.716666666667</v>
      </c>
      <c r="BW19" s="701">
        <f>BW12*'[8]Cracker Yields'!$H$7+'[8]Cracker Yields'!$I$7*'Financial Model (84 Months)'!BW13+'Financial Model (84 Months)'!BW14*'[8]Cracker Yields'!$J$7+'[8]Cracker Yields'!$K$7*'Financial Model (84 Months)'!BW15</f>
        <v>11641.716666666667</v>
      </c>
      <c r="BX19" s="701">
        <f>BX12*'[8]Cracker Yields'!$H$7+'[8]Cracker Yields'!$I$7*'Financial Model (84 Months)'!BX13+'Financial Model (84 Months)'!BX14*'[8]Cracker Yields'!$J$7+'[8]Cracker Yields'!$K$7*'Financial Model (84 Months)'!BX15</f>
        <v>11641.716666666667</v>
      </c>
      <c r="BY19" s="701">
        <f>BY12*'[8]Cracker Yields'!$H$7+'[8]Cracker Yields'!$I$7*'Financial Model (84 Months)'!BY13+'Financial Model (84 Months)'!BY14*'[8]Cracker Yields'!$J$7+'[8]Cracker Yields'!$K$7*'Financial Model (84 Months)'!BY15</f>
        <v>11641.716666666667</v>
      </c>
      <c r="BZ19" s="701">
        <f>BZ12*'[8]Cracker Yields'!$H$7+'[8]Cracker Yields'!$I$7*'Financial Model (84 Months)'!BZ13+'Financial Model (84 Months)'!BZ14*'[8]Cracker Yields'!$J$7+'[8]Cracker Yields'!$K$7*'Financial Model (84 Months)'!BZ15</f>
        <v>11641.716666666667</v>
      </c>
      <c r="CA19" s="701">
        <f>CA12*'[8]Cracker Yields'!$H$7+'[8]Cracker Yields'!$I$7*'Financial Model (84 Months)'!CA13+'Financial Model (84 Months)'!CA14*'[8]Cracker Yields'!$J$7+'[8]Cracker Yields'!$K$7*'Financial Model (84 Months)'!CA15</f>
        <v>11641.716666666667</v>
      </c>
      <c r="CB19" s="701">
        <f>CB12*'[8]Cracker Yields'!$H$7+'[8]Cracker Yields'!$I$7*'Financial Model (84 Months)'!CB13+'Financial Model (84 Months)'!CB14*'[8]Cracker Yields'!$J$7+'[8]Cracker Yields'!$K$7*'Financial Model (84 Months)'!CB15</f>
        <v>11641.716666666667</v>
      </c>
      <c r="CC19" s="701">
        <f>CC12*'[8]Cracker Yields'!$H$7+'[8]Cracker Yields'!$I$7*'Financial Model (84 Months)'!CC13+'Financial Model (84 Months)'!CC14*'[8]Cracker Yields'!$J$7+'[8]Cracker Yields'!$K$7*'Financial Model (84 Months)'!CC15</f>
        <v>11641.716666666667</v>
      </c>
      <c r="CD19" s="701">
        <f>CD12*'[8]Cracker Yields'!$H$7+'[8]Cracker Yields'!$I$7*'Financial Model (84 Months)'!CD13+'Financial Model (84 Months)'!CD14*'[8]Cracker Yields'!$J$7+'[8]Cracker Yields'!$K$7*'Financial Model (84 Months)'!CD15</f>
        <v>11641.716666666667</v>
      </c>
      <c r="CE19" s="701">
        <f>CE12*'[8]Cracker Yields'!$H$7+'[8]Cracker Yields'!$I$7*'Financial Model (84 Months)'!CE13+'Financial Model (84 Months)'!CE14*'[8]Cracker Yields'!$J$7+'[8]Cracker Yields'!$K$7*'Financial Model (84 Months)'!CE15</f>
        <v>11641.716666666667</v>
      </c>
      <c r="CF19" s="701">
        <f>CF12*'[8]Cracker Yields'!$H$7+'[8]Cracker Yields'!$I$7*'Financial Model (84 Months)'!CF13+'Financial Model (84 Months)'!CF14*'[8]Cracker Yields'!$J$7+'[8]Cracker Yields'!$K$7*'Financial Model (84 Months)'!CF15</f>
        <v>11641.716666666667</v>
      </c>
      <c r="CG19" s="701">
        <f>CG12*'[8]Cracker Yields'!$H$7+'[8]Cracker Yields'!$I$7*'Financial Model (84 Months)'!CG13+'Financial Model (84 Months)'!CG14*'[8]Cracker Yields'!$J$7+'[8]Cracker Yields'!$K$7*'Financial Model (84 Months)'!CG15</f>
        <v>11641.716666666667</v>
      </c>
      <c r="CH19" s="701">
        <f>CH12*'[8]Cracker Yields'!$H$7+'[8]Cracker Yields'!$I$7*'Financial Model (84 Months)'!CH13+'Financial Model (84 Months)'!CH14*'[8]Cracker Yields'!$J$7+'[8]Cracker Yields'!$K$7*'Financial Model (84 Months)'!CH15</f>
        <v>11641.716666666667</v>
      </c>
      <c r="CI19" s="701">
        <f>CI12*'[8]Cracker Yields'!$H$7+'[8]Cracker Yields'!$I$7*'Financial Model (84 Months)'!CI13+'Financial Model (84 Months)'!CI14*'[8]Cracker Yields'!$J$7+'[8]Cracker Yields'!$K$7*'Financial Model (84 Months)'!CI15</f>
        <v>11641.716666666667</v>
      </c>
      <c r="CJ19" s="701">
        <f>CJ12*'[8]Cracker Yields'!$H$7+'[8]Cracker Yields'!$I$7*'Financial Model (84 Months)'!CJ13+'Financial Model (84 Months)'!CJ14*'[8]Cracker Yields'!$J$7+'[8]Cracker Yields'!$K$7*'Financial Model (84 Months)'!CJ15</f>
        <v>11641.716666666667</v>
      </c>
      <c r="CK19" s="701">
        <f>CK12*'[8]Cracker Yields'!$H$7+'[8]Cracker Yields'!$I$7*'Financial Model (84 Months)'!CK13+'Financial Model (84 Months)'!CK14*'[8]Cracker Yields'!$J$7+'[8]Cracker Yields'!$K$7*'Financial Model (84 Months)'!CK15</f>
        <v>11641.716666666667</v>
      </c>
      <c r="CL19" s="703">
        <f>CL12*'[8]Cracker Yields'!$H$7+'[8]Cracker Yields'!$I$7*'Financial Model (84 Months)'!CL13+'Financial Model (84 Months)'!CL14*'[8]Cracker Yields'!$J$7+'[8]Cracker Yields'!$K$7*'Financial Model (84 Months)'!CL15</f>
        <v>11641.716666666667</v>
      </c>
      <c r="CM19" s="642">
        <f t="shared" si="0"/>
        <v>11641.716666666673</v>
      </c>
      <c r="CN19" s="245"/>
      <c r="CO19" s="245"/>
      <c r="CP19" s="245"/>
      <c r="CQ19" s="245"/>
      <c r="CR19" s="245"/>
      <c r="CS19" s="245"/>
      <c r="CT19" s="245"/>
      <c r="CU19" s="245"/>
      <c r="CV19" s="245"/>
      <c r="CW19" s="245"/>
      <c r="CX19" s="245"/>
      <c r="CY19" s="245"/>
      <c r="CZ19" s="245"/>
      <c r="DA19" s="245"/>
      <c r="DB19" s="245"/>
      <c r="DC19" s="245"/>
      <c r="DD19" s="245"/>
      <c r="DE19" s="245"/>
      <c r="DF19" s="245"/>
      <c r="DG19" s="245"/>
      <c r="DH19" s="245"/>
      <c r="DI19" s="245"/>
      <c r="DJ19" s="245"/>
      <c r="DK19" s="245"/>
      <c r="DL19" s="245"/>
      <c r="DM19" s="245"/>
      <c r="DN19" s="245"/>
      <c r="DO19" s="245"/>
      <c r="DP19" s="245"/>
      <c r="DQ19" s="245"/>
      <c r="DR19" s="245"/>
      <c r="DS19" s="245"/>
      <c r="DT19" s="245"/>
      <c r="DU19" s="245"/>
      <c r="DV19" s="245"/>
      <c r="DW19" s="245"/>
      <c r="DX19" s="245"/>
      <c r="DY19" s="245"/>
      <c r="DZ19" s="245"/>
      <c r="EA19" s="245"/>
      <c r="EB19" s="245"/>
      <c r="EC19" s="245"/>
      <c r="ED19" s="245"/>
      <c r="EE19" s="245"/>
      <c r="EF19" s="245"/>
      <c r="EG19" s="245"/>
      <c r="EH19" s="245"/>
      <c r="EI19" s="245"/>
      <c r="EJ19" s="245"/>
      <c r="EK19" s="245"/>
      <c r="EL19" s="245"/>
      <c r="EM19" s="245"/>
      <c r="EN19" s="245"/>
      <c r="EO19" s="245"/>
      <c r="EP19" s="245"/>
      <c r="EQ19" s="245"/>
      <c r="ER19" s="245"/>
      <c r="ES19" s="245"/>
      <c r="ET19" s="245"/>
      <c r="EU19" s="245"/>
      <c r="EV19" s="245"/>
      <c r="EW19" s="245"/>
      <c r="EX19" s="245"/>
      <c r="EY19" s="245"/>
      <c r="EZ19" s="245"/>
      <c r="FA19" s="245"/>
      <c r="FB19" s="245"/>
      <c r="FC19" s="245"/>
      <c r="FD19" s="245"/>
      <c r="FE19" s="245"/>
      <c r="FF19" s="245"/>
      <c r="FG19" s="245"/>
      <c r="FH19" s="245"/>
      <c r="FI19" s="245"/>
      <c r="FJ19" s="245"/>
      <c r="FK19" s="245"/>
      <c r="FL19" s="245"/>
      <c r="FM19" s="245"/>
      <c r="FN19" s="245"/>
      <c r="FO19" s="245"/>
      <c r="FP19" s="245"/>
      <c r="FQ19" s="245"/>
      <c r="FR19" s="245"/>
      <c r="FS19" s="245"/>
      <c r="FT19" s="245"/>
      <c r="FU19" s="245"/>
      <c r="FV19" s="245"/>
    </row>
    <row r="20" spans="1:178">
      <c r="A20" s="1041"/>
      <c r="B20" s="639" t="s">
        <v>312</v>
      </c>
      <c r="C20" s="640" t="s">
        <v>313</v>
      </c>
      <c r="D20" s="640"/>
      <c r="E20" s="1044"/>
      <c r="F20" s="700" t="str">
        <f>F9</f>
        <v xml:space="preserve"> Hydrogenated Pygas (HPG) </v>
      </c>
      <c r="G20" s="701">
        <f>G12*'[8]Cracker Yields'!$H$8+'[8]Cracker Yields'!$I$8*'Financial Model (84 Months)'!G13+'Financial Model (84 Months)'!G14*'[8]Cracker Yields'!$J$8+'[8]Cracker Yields'!$K$8*'Financial Model (84 Months)'!G15</f>
        <v>14526.098</v>
      </c>
      <c r="H20" s="701">
        <f>H12*'[8]Cracker Yields'!$H$8+'[8]Cracker Yields'!$I$8*'Financial Model (84 Months)'!H13+'Financial Model (84 Months)'!H14*'[8]Cracker Yields'!$J$8+'[8]Cracker Yields'!$K$8*'Financial Model (84 Months)'!H15</f>
        <v>14526.098</v>
      </c>
      <c r="I20" s="701">
        <f>I12*'[8]Cracker Yields'!$H$8+'[8]Cracker Yields'!$I$8*'Financial Model (84 Months)'!I13+'Financial Model (84 Months)'!I14*'[8]Cracker Yields'!$J$8+'[8]Cracker Yields'!$K$8*'Financial Model (84 Months)'!I15</f>
        <v>14526.098</v>
      </c>
      <c r="J20" s="701">
        <f>J12*'[8]Cracker Yields'!$H$8+'[8]Cracker Yields'!$I$8*'Financial Model (84 Months)'!J13+'Financial Model (84 Months)'!J14*'[8]Cracker Yields'!$J$8+'[8]Cracker Yields'!$K$8*'Financial Model (84 Months)'!J15</f>
        <v>14526.098</v>
      </c>
      <c r="K20" s="701">
        <f>K12*'[8]Cracker Yields'!$H$8+'[8]Cracker Yields'!$I$8*'Financial Model (84 Months)'!K13+'Financial Model (84 Months)'!K14*'[8]Cracker Yields'!$J$8+'[8]Cracker Yields'!$K$8*'Financial Model (84 Months)'!K15</f>
        <v>14526.098</v>
      </c>
      <c r="L20" s="701">
        <f>L12*'[8]Cracker Yields'!$H$8+'[8]Cracker Yields'!$I$8*'Financial Model (84 Months)'!L13+'Financial Model (84 Months)'!L14*'[8]Cracker Yields'!$J$8+'[8]Cracker Yields'!$K$8*'Financial Model (84 Months)'!L15</f>
        <v>14526.098</v>
      </c>
      <c r="M20" s="701">
        <f>M12*'[8]Cracker Yields'!$H$8+'[8]Cracker Yields'!$I$8*'Financial Model (84 Months)'!M13+'Financial Model (84 Months)'!M14*'[8]Cracker Yields'!$J$8+'[8]Cracker Yields'!$K$8*'Financial Model (84 Months)'!M15</f>
        <v>14526.098</v>
      </c>
      <c r="N20" s="701">
        <f>N12*'[8]Cracker Yields'!$H$8+'[8]Cracker Yields'!$I$8*'Financial Model (84 Months)'!N13+'Financial Model (84 Months)'!N14*'[8]Cracker Yields'!$J$8+'[8]Cracker Yields'!$K$8*'Financial Model (84 Months)'!N15</f>
        <v>14526.098</v>
      </c>
      <c r="O20" s="701">
        <f>O12*'[8]Cracker Yields'!$H$8+'[8]Cracker Yields'!$I$8*'Financial Model (84 Months)'!O13+'Financial Model (84 Months)'!O14*'[8]Cracker Yields'!$J$8+'[8]Cracker Yields'!$K$8*'Financial Model (84 Months)'!O15</f>
        <v>14526.098</v>
      </c>
      <c r="P20" s="701">
        <f>P12*'[8]Cracker Yields'!$H$8+'[8]Cracker Yields'!$I$8*'Financial Model (84 Months)'!P13+'Financial Model (84 Months)'!P14*'[8]Cracker Yields'!$J$8+'[8]Cracker Yields'!$K$8*'Financial Model (84 Months)'!P15</f>
        <v>14526.098</v>
      </c>
      <c r="Q20" s="701">
        <f>Q12*'[8]Cracker Yields'!$H$8+'[8]Cracker Yields'!$I$8*'Financial Model (84 Months)'!Q13+'Financial Model (84 Months)'!Q14*'[8]Cracker Yields'!$J$8+'[8]Cracker Yields'!$K$8*'Financial Model (84 Months)'!Q15</f>
        <v>14526.098</v>
      </c>
      <c r="R20" s="701">
        <f>R12*'[8]Cracker Yields'!$H$8+'[8]Cracker Yields'!$I$8*'Financial Model (84 Months)'!R13+'Financial Model (84 Months)'!R14*'[8]Cracker Yields'!$J$8+'[8]Cracker Yields'!$K$8*'Financial Model (84 Months)'!R15</f>
        <v>14526.098</v>
      </c>
      <c r="S20" s="701">
        <f>S12*'[8]Cracker Yields'!$H$8+'[8]Cracker Yields'!$I$8*'Financial Model (84 Months)'!S13+'Financial Model (84 Months)'!S14*'[8]Cracker Yields'!$J$8+'[8]Cracker Yields'!$K$8*'Financial Model (84 Months)'!S15</f>
        <v>14526.098</v>
      </c>
      <c r="T20" s="702">
        <f>T12*'[8]Cracker Yields'!$H$8+'[8]Cracker Yields'!$I$8*'Financial Model (84 Months)'!T13+'Financial Model (84 Months)'!T14*'[8]Cracker Yields'!$J$8+'[8]Cracker Yields'!$K$8*'Financial Model (84 Months)'!T15</f>
        <v>14526.098</v>
      </c>
      <c r="U20" s="701">
        <f>U12*'[8]Cracker Yields'!$H$8+'[8]Cracker Yields'!$I$8*'Financial Model (84 Months)'!U13+'Financial Model (84 Months)'!U14*'[8]Cracker Yields'!$J$8+'[8]Cracker Yields'!$K$8*'Financial Model (84 Months)'!U15</f>
        <v>14526.098</v>
      </c>
      <c r="V20" s="702">
        <f>V12*'[8]Cracker Yields'!$H$8+'[8]Cracker Yields'!$I$8*'Financial Model (84 Months)'!V13+'Financial Model (84 Months)'!V14*'[8]Cracker Yields'!$J$8+'[8]Cracker Yields'!$K$8*'Financial Model (84 Months)'!V15</f>
        <v>14526.098</v>
      </c>
      <c r="W20" s="701">
        <f>W12*'[8]Cracker Yields'!$H$8+'[8]Cracker Yields'!$I$8*'Financial Model (84 Months)'!W13+'Financial Model (84 Months)'!W14*'[8]Cracker Yields'!$J$8+'[8]Cracker Yields'!$K$8*'Financial Model (84 Months)'!W15</f>
        <v>14526.098</v>
      </c>
      <c r="X20" s="702">
        <f>X12*'[8]Cracker Yields'!$H$8+'[8]Cracker Yields'!$I$8*'Financial Model (84 Months)'!X13+'Financial Model (84 Months)'!X14*'[8]Cracker Yields'!$J$8+'[8]Cracker Yields'!$K$8*'Financial Model (84 Months)'!X15</f>
        <v>14526.098</v>
      </c>
      <c r="Y20" s="701">
        <f>Y12*'[8]Cracker Yields'!$H$8+'[8]Cracker Yields'!$I$8*'Financial Model (84 Months)'!Y13+'Financial Model (84 Months)'!Y14*'[8]Cracker Yields'!$J$8+'[8]Cracker Yields'!$K$8*'Financial Model (84 Months)'!Y15</f>
        <v>14526.098</v>
      </c>
      <c r="Z20" s="702">
        <f>Z12*'[8]Cracker Yields'!$H$8+'[8]Cracker Yields'!$I$8*'Financial Model (84 Months)'!Z13+'Financial Model (84 Months)'!Z14*'[8]Cracker Yields'!$J$8+'[8]Cracker Yields'!$K$8*'Financial Model (84 Months)'!Z15</f>
        <v>14526.098</v>
      </c>
      <c r="AA20" s="701">
        <f>AA12*'[8]Cracker Yields'!$H$8+'[8]Cracker Yields'!$I$8*'Financial Model (84 Months)'!AA13+'Financial Model (84 Months)'!AA14*'[8]Cracker Yields'!$J$8+'[8]Cracker Yields'!$K$8*'Financial Model (84 Months)'!AA15</f>
        <v>14526.098</v>
      </c>
      <c r="AB20" s="702">
        <f>AB12*'[8]Cracker Yields'!$H$8+'[8]Cracker Yields'!$I$8*'Financial Model (84 Months)'!AB13+'Financial Model (84 Months)'!AB14*'[8]Cracker Yields'!$J$8+'[8]Cracker Yields'!$K$8*'Financial Model (84 Months)'!AB15</f>
        <v>14526.098</v>
      </c>
      <c r="AC20" s="701">
        <f>AC12*'[8]Cracker Yields'!$H$8+'[8]Cracker Yields'!$I$8*'Financial Model (84 Months)'!AC13+'Financial Model (84 Months)'!AC14*'[8]Cracker Yields'!$J$8+'[8]Cracker Yields'!$K$8*'Financial Model (84 Months)'!AC15</f>
        <v>14526.098</v>
      </c>
      <c r="AD20" s="702">
        <f>AD12*'[8]Cracker Yields'!$H$8+'[8]Cracker Yields'!$I$8*'Financial Model (84 Months)'!AD13+'Financial Model (84 Months)'!AD14*'[8]Cracker Yields'!$J$8+'[8]Cracker Yields'!$K$8*'Financial Model (84 Months)'!AD15</f>
        <v>14526.098</v>
      </c>
      <c r="AE20" s="701">
        <f>AE12*'[8]Cracker Yields'!$H$8+'[8]Cracker Yields'!$I$8*'Financial Model (84 Months)'!AE13+'Financial Model (84 Months)'!AE14*'[8]Cracker Yields'!$J$8+'[8]Cracker Yields'!$K$8*'Financial Model (84 Months)'!AE15</f>
        <v>14526.098</v>
      </c>
      <c r="AF20" s="702">
        <f>AF12*'[8]Cracker Yields'!$H$8+'[8]Cracker Yields'!$I$8*'Financial Model (84 Months)'!AF13+'Financial Model (84 Months)'!AF14*'[8]Cracker Yields'!$J$8+'[8]Cracker Yields'!$K$8*'Financial Model (84 Months)'!AF15</f>
        <v>14526.098</v>
      </c>
      <c r="AG20" s="701">
        <f>AG12*'[8]Cracker Yields'!$H$8+'[8]Cracker Yields'!$I$8*'Financial Model (84 Months)'!AG13+'Financial Model (84 Months)'!AG14*'[8]Cracker Yields'!$J$8+'[8]Cracker Yields'!$K$8*'Financial Model (84 Months)'!AG15</f>
        <v>14526.098</v>
      </c>
      <c r="AH20" s="702">
        <f>AH12*'[8]Cracker Yields'!$H$8+'[8]Cracker Yields'!$I$8*'Financial Model (84 Months)'!AH13+'Financial Model (84 Months)'!AH14*'[8]Cracker Yields'!$J$8+'[8]Cracker Yields'!$K$8*'Financial Model (84 Months)'!AH15</f>
        <v>14526.098</v>
      </c>
      <c r="AI20" s="701">
        <f>AI12*'[8]Cracker Yields'!$H$8+'[8]Cracker Yields'!$I$8*'Financial Model (84 Months)'!AI13+'Financial Model (84 Months)'!AI14*'[8]Cracker Yields'!$J$8+'[8]Cracker Yields'!$K$8*'Financial Model (84 Months)'!AI15</f>
        <v>14526.098</v>
      </c>
      <c r="AJ20" s="702">
        <f>AJ12*'[8]Cracker Yields'!$H$8+'[8]Cracker Yields'!$I$8*'Financial Model (84 Months)'!AJ13+'Financial Model (84 Months)'!AJ14*'[8]Cracker Yields'!$J$8+'[8]Cracker Yields'!$K$8*'Financial Model (84 Months)'!AJ15</f>
        <v>14526.098</v>
      </c>
      <c r="AK20" s="701">
        <f>AK12*'[8]Cracker Yields'!$H$8+'[8]Cracker Yields'!$I$8*'Financial Model (84 Months)'!AK13+'Financial Model (84 Months)'!AK14*'[8]Cracker Yields'!$J$8+'[8]Cracker Yields'!$K$8*'Financial Model (84 Months)'!AK15</f>
        <v>14526.098</v>
      </c>
      <c r="AL20" s="702">
        <f>AL12*'[8]Cracker Yields'!$H$8+'[8]Cracker Yields'!$I$8*'Financial Model (84 Months)'!AL13+'Financial Model (84 Months)'!AL14*'[8]Cracker Yields'!$J$8+'[8]Cracker Yields'!$K$8*'Financial Model (84 Months)'!AL15</f>
        <v>14526.098</v>
      </c>
      <c r="AM20" s="701">
        <f>AM12*'[8]Cracker Yields'!$H$8+'[8]Cracker Yields'!$I$8*'Financial Model (84 Months)'!AM13+'Financial Model (84 Months)'!AM14*'[8]Cracker Yields'!$J$8+'[8]Cracker Yields'!$K$8*'Financial Model (84 Months)'!AM15</f>
        <v>14526.098</v>
      </c>
      <c r="AN20" s="702">
        <f>AN12*'[8]Cracker Yields'!$H$8+'[8]Cracker Yields'!$I$8*'Financial Model (84 Months)'!AN13+'Financial Model (84 Months)'!AN14*'[8]Cracker Yields'!$J$8+'[8]Cracker Yields'!$K$8*'Financial Model (84 Months)'!AN15</f>
        <v>14526.098</v>
      </c>
      <c r="AO20" s="701">
        <f>AO12*'[8]Cracker Yields'!$H$8+'[8]Cracker Yields'!$I$8*'Financial Model (84 Months)'!AO13+'Financial Model (84 Months)'!AO14*'[8]Cracker Yields'!$J$8+'[8]Cracker Yields'!$K$8*'Financial Model (84 Months)'!AO15</f>
        <v>14526.098</v>
      </c>
      <c r="AP20" s="702">
        <f>AP12*'[8]Cracker Yields'!$H$8+'[8]Cracker Yields'!$I$8*'Financial Model (84 Months)'!AP13+'Financial Model (84 Months)'!AP14*'[8]Cracker Yields'!$J$8+'[8]Cracker Yields'!$K$8*'Financial Model (84 Months)'!AP15</f>
        <v>14526.098</v>
      </c>
      <c r="AQ20" s="701">
        <f>AQ12*'[8]Cracker Yields'!$H$8+'[8]Cracker Yields'!$I$8*'Financial Model (84 Months)'!AQ13+'Financial Model (84 Months)'!AQ14*'[8]Cracker Yields'!$J$8+'[8]Cracker Yields'!$K$8*'Financial Model (84 Months)'!AQ15</f>
        <v>14526.098</v>
      </c>
      <c r="AR20" s="702">
        <f>AR12*'[8]Cracker Yields'!$H$8+'[8]Cracker Yields'!$I$8*'Financial Model (84 Months)'!AR13+'Financial Model (84 Months)'!AR14*'[8]Cracker Yields'!$J$8+'[8]Cracker Yields'!$K$8*'Financial Model (84 Months)'!AR15</f>
        <v>14526.098</v>
      </c>
      <c r="AS20" s="701">
        <f>AS12*'[8]Cracker Yields'!$H$8+'[8]Cracker Yields'!$I$8*'Financial Model (84 Months)'!AS13+'Financial Model (84 Months)'!AS14*'[8]Cracker Yields'!$J$8+'[8]Cracker Yields'!$K$8*'Financial Model (84 Months)'!AS15</f>
        <v>14526.098</v>
      </c>
      <c r="AT20" s="702">
        <f>AT12*'[8]Cracker Yields'!$H$8+'[8]Cracker Yields'!$I$8*'Financial Model (84 Months)'!AT13+'Financial Model (84 Months)'!AT14*'[8]Cracker Yields'!$J$8+'[8]Cracker Yields'!$K$8*'Financial Model (84 Months)'!AT15</f>
        <v>14526.098</v>
      </c>
      <c r="AU20" s="701">
        <f>AU12*'[8]Cracker Yields'!$H$8+'[8]Cracker Yields'!$I$8*'Financial Model (84 Months)'!AU13+'Financial Model (84 Months)'!AU14*'[8]Cracker Yields'!$J$8+'[8]Cracker Yields'!$K$8*'Financial Model (84 Months)'!AU15</f>
        <v>14526.098</v>
      </c>
      <c r="AV20" s="701">
        <f>AV12*'[8]Cracker Yields'!$H$8+'[8]Cracker Yields'!$I$8*'Financial Model (84 Months)'!AV13+'Financial Model (84 Months)'!AV14*'[8]Cracker Yields'!$J$8+'[8]Cracker Yields'!$K$8*'Financial Model (84 Months)'!AV15</f>
        <v>14526.098</v>
      </c>
      <c r="AW20" s="701">
        <f>AW12*'[8]Cracker Yields'!$H$8+'[8]Cracker Yields'!$I$8*'Financial Model (84 Months)'!AW13+'Financial Model (84 Months)'!AW14*'[8]Cracker Yields'!$J$8+'[8]Cracker Yields'!$K$8*'Financial Model (84 Months)'!AW15</f>
        <v>14526.098</v>
      </c>
      <c r="AX20" s="701">
        <f>AX12*'[8]Cracker Yields'!$H$8+'[8]Cracker Yields'!$I$8*'Financial Model (84 Months)'!AX13+'Financial Model (84 Months)'!AX14*'[8]Cracker Yields'!$J$8+'[8]Cracker Yields'!$K$8*'Financial Model (84 Months)'!AX15</f>
        <v>14526.098</v>
      </c>
      <c r="AY20" s="701">
        <f>AY12*'[8]Cracker Yields'!$H$8+'[8]Cracker Yields'!$I$8*'Financial Model (84 Months)'!AY13+'Financial Model (84 Months)'!AY14*'[8]Cracker Yields'!$J$8+'[8]Cracker Yields'!$K$8*'Financial Model (84 Months)'!AY15</f>
        <v>14526.098</v>
      </c>
      <c r="AZ20" s="701">
        <f>AZ12*'[8]Cracker Yields'!$H$8+'[8]Cracker Yields'!$I$8*'Financial Model (84 Months)'!AZ13+'Financial Model (84 Months)'!AZ14*'[8]Cracker Yields'!$J$8+'[8]Cracker Yields'!$K$8*'Financial Model (84 Months)'!AZ15</f>
        <v>14526.098</v>
      </c>
      <c r="BA20" s="701">
        <f>BA12*'[8]Cracker Yields'!$H$8+'[8]Cracker Yields'!$I$8*'Financial Model (84 Months)'!BA13+'Financial Model (84 Months)'!BA14*'[8]Cracker Yields'!$J$8+'[8]Cracker Yields'!$K$8*'Financial Model (84 Months)'!BA15</f>
        <v>14526.098</v>
      </c>
      <c r="BB20" s="701">
        <f>BB12*'[8]Cracker Yields'!$H$8+'[8]Cracker Yields'!$I$8*'Financial Model (84 Months)'!BB13+'Financial Model (84 Months)'!BB14*'[8]Cracker Yields'!$J$8+'[8]Cracker Yields'!$K$8*'Financial Model (84 Months)'!BB15</f>
        <v>14526.098</v>
      </c>
      <c r="BC20" s="701">
        <f>BC12*'[8]Cracker Yields'!$H$8+'[8]Cracker Yields'!$I$8*'Financial Model (84 Months)'!BC13+'Financial Model (84 Months)'!BC14*'[8]Cracker Yields'!$J$8+'[8]Cracker Yields'!$K$8*'Financial Model (84 Months)'!BC15</f>
        <v>14526.098</v>
      </c>
      <c r="BD20" s="701">
        <f>BD12*'[8]Cracker Yields'!$H$8+'[8]Cracker Yields'!$I$8*'Financial Model (84 Months)'!BD13+'Financial Model (84 Months)'!BD14*'[8]Cracker Yields'!$J$8+'[8]Cracker Yields'!$K$8*'Financial Model (84 Months)'!BD15</f>
        <v>14526.098</v>
      </c>
      <c r="BE20" s="701">
        <f>BE12*'[8]Cracker Yields'!$H$8+'[8]Cracker Yields'!$I$8*'Financial Model (84 Months)'!BE13+'Financial Model (84 Months)'!BE14*'[8]Cracker Yields'!$J$8+'[8]Cracker Yields'!$K$8*'Financial Model (84 Months)'!BE15</f>
        <v>14526.098</v>
      </c>
      <c r="BF20" s="701">
        <f>BF12*'[8]Cracker Yields'!$H$8+'[8]Cracker Yields'!$I$8*'Financial Model (84 Months)'!BF13+'Financial Model (84 Months)'!BF14*'[8]Cracker Yields'!$J$8+'[8]Cracker Yields'!$K$8*'Financial Model (84 Months)'!BF15</f>
        <v>14526.098</v>
      </c>
      <c r="BG20" s="701">
        <f>BG12*'[8]Cracker Yields'!$H$8+'[8]Cracker Yields'!$I$8*'Financial Model (84 Months)'!BG13+'Financial Model (84 Months)'!BG14*'[8]Cracker Yields'!$J$8+'[8]Cracker Yields'!$K$8*'Financial Model (84 Months)'!BG15</f>
        <v>14526.098</v>
      </c>
      <c r="BH20" s="701">
        <f>BH12*'[8]Cracker Yields'!$H$8+'[8]Cracker Yields'!$I$8*'Financial Model (84 Months)'!BH13+'Financial Model (84 Months)'!BH14*'[8]Cracker Yields'!$J$8+'[8]Cracker Yields'!$K$8*'Financial Model (84 Months)'!BH15</f>
        <v>14526.098</v>
      </c>
      <c r="BI20" s="701">
        <f>BI12*'[8]Cracker Yields'!$H$8+'[8]Cracker Yields'!$I$8*'Financial Model (84 Months)'!BI13+'Financial Model (84 Months)'!BI14*'[8]Cracker Yields'!$J$8+'[8]Cracker Yields'!$K$8*'Financial Model (84 Months)'!BI15</f>
        <v>14526.098</v>
      </c>
      <c r="BJ20" s="701">
        <f>BJ12*'[8]Cracker Yields'!$H$8+'[8]Cracker Yields'!$I$8*'Financial Model (84 Months)'!BJ13+'Financial Model (84 Months)'!BJ14*'[8]Cracker Yields'!$J$8+'[8]Cracker Yields'!$K$8*'Financial Model (84 Months)'!BJ15</f>
        <v>14526.098</v>
      </c>
      <c r="BK20" s="701">
        <f>BK12*'[8]Cracker Yields'!$H$8+'[8]Cracker Yields'!$I$8*'Financial Model (84 Months)'!BK13+'Financial Model (84 Months)'!BK14*'[8]Cracker Yields'!$J$8+'[8]Cracker Yields'!$K$8*'Financial Model (84 Months)'!BK15</f>
        <v>14526.098</v>
      </c>
      <c r="BL20" s="701">
        <f>BL12*'[8]Cracker Yields'!$H$8+'[8]Cracker Yields'!$I$8*'Financial Model (84 Months)'!BL13+'Financial Model (84 Months)'!BL14*'[8]Cracker Yields'!$J$8+'[8]Cracker Yields'!$K$8*'Financial Model (84 Months)'!BL15</f>
        <v>14526.098</v>
      </c>
      <c r="BM20" s="701">
        <f>BM12*'[8]Cracker Yields'!$H$8+'[8]Cracker Yields'!$I$8*'Financial Model (84 Months)'!BM13+'Financial Model (84 Months)'!BM14*'[8]Cracker Yields'!$J$8+'[8]Cracker Yields'!$K$8*'Financial Model (84 Months)'!BM15</f>
        <v>14526.098</v>
      </c>
      <c r="BN20" s="701">
        <f>BN12*'[8]Cracker Yields'!$H$8+'[8]Cracker Yields'!$I$8*'Financial Model (84 Months)'!BN13+'Financial Model (84 Months)'!BN14*'[8]Cracker Yields'!$J$8+'[8]Cracker Yields'!$K$8*'Financial Model (84 Months)'!BN15</f>
        <v>14526.098</v>
      </c>
      <c r="BO20" s="701">
        <f>BO12*'[8]Cracker Yields'!$H$8+'[8]Cracker Yields'!$I$8*'Financial Model (84 Months)'!BO13+'Financial Model (84 Months)'!BO14*'[8]Cracker Yields'!$J$8+'[8]Cracker Yields'!$K$8*'Financial Model (84 Months)'!BO15</f>
        <v>14526.098</v>
      </c>
      <c r="BP20" s="701">
        <f>BP12*'[8]Cracker Yields'!$H$8+'[8]Cracker Yields'!$I$8*'Financial Model (84 Months)'!BP13+'Financial Model (84 Months)'!BP14*'[8]Cracker Yields'!$J$8+'[8]Cracker Yields'!$K$8*'Financial Model (84 Months)'!BP15</f>
        <v>14526.098</v>
      </c>
      <c r="BQ20" s="701">
        <f>BQ12*'[8]Cracker Yields'!$H$8+'[8]Cracker Yields'!$I$8*'Financial Model (84 Months)'!BQ13+'Financial Model (84 Months)'!BQ14*'[8]Cracker Yields'!$J$8+'[8]Cracker Yields'!$K$8*'Financial Model (84 Months)'!BQ15</f>
        <v>14526.098</v>
      </c>
      <c r="BR20" s="701">
        <f>BR12*'[8]Cracker Yields'!$H$8+'[8]Cracker Yields'!$I$8*'Financial Model (84 Months)'!BR13+'Financial Model (84 Months)'!BR14*'[8]Cracker Yields'!$J$8+'[8]Cracker Yields'!$K$8*'Financial Model (84 Months)'!BR15</f>
        <v>14526.098</v>
      </c>
      <c r="BS20" s="701">
        <f>BS12*'[8]Cracker Yields'!$H$8+'[8]Cracker Yields'!$I$8*'Financial Model (84 Months)'!BS13+'Financial Model (84 Months)'!BS14*'[8]Cracker Yields'!$J$8+'[8]Cracker Yields'!$K$8*'Financial Model (84 Months)'!BS15</f>
        <v>14526.098</v>
      </c>
      <c r="BT20" s="701">
        <f>BT12*'[8]Cracker Yields'!$H$8+'[8]Cracker Yields'!$I$8*'Financial Model (84 Months)'!BT13+'Financial Model (84 Months)'!BT14*'[8]Cracker Yields'!$J$8+'[8]Cracker Yields'!$K$8*'Financial Model (84 Months)'!BT15</f>
        <v>14526.098</v>
      </c>
      <c r="BU20" s="701">
        <f>BU12*'[8]Cracker Yields'!$H$8+'[8]Cracker Yields'!$I$8*'Financial Model (84 Months)'!BU13+'Financial Model (84 Months)'!BU14*'[8]Cracker Yields'!$J$8+'[8]Cracker Yields'!$K$8*'Financial Model (84 Months)'!BU15</f>
        <v>14526.098</v>
      </c>
      <c r="BV20" s="701">
        <f>BV12*'[8]Cracker Yields'!$H$8+'[8]Cracker Yields'!$I$8*'Financial Model (84 Months)'!BV13+'Financial Model (84 Months)'!BV14*'[8]Cracker Yields'!$J$8+'[8]Cracker Yields'!$K$8*'Financial Model (84 Months)'!BV15</f>
        <v>14526.098</v>
      </c>
      <c r="BW20" s="701">
        <f>BW12*'[8]Cracker Yields'!$H$8+'[8]Cracker Yields'!$I$8*'Financial Model (84 Months)'!BW13+'Financial Model (84 Months)'!BW14*'[8]Cracker Yields'!$J$8+'[8]Cracker Yields'!$K$8*'Financial Model (84 Months)'!BW15</f>
        <v>14526.098</v>
      </c>
      <c r="BX20" s="701">
        <f>BX12*'[8]Cracker Yields'!$H$8+'[8]Cracker Yields'!$I$8*'Financial Model (84 Months)'!BX13+'Financial Model (84 Months)'!BX14*'[8]Cracker Yields'!$J$8+'[8]Cracker Yields'!$K$8*'Financial Model (84 Months)'!BX15</f>
        <v>14526.098</v>
      </c>
      <c r="BY20" s="701">
        <f>BY12*'[8]Cracker Yields'!$H$8+'[8]Cracker Yields'!$I$8*'Financial Model (84 Months)'!BY13+'Financial Model (84 Months)'!BY14*'[8]Cracker Yields'!$J$8+'[8]Cracker Yields'!$K$8*'Financial Model (84 Months)'!BY15</f>
        <v>14526.098</v>
      </c>
      <c r="BZ20" s="701">
        <f>BZ12*'[8]Cracker Yields'!$H$8+'[8]Cracker Yields'!$I$8*'Financial Model (84 Months)'!BZ13+'Financial Model (84 Months)'!BZ14*'[8]Cracker Yields'!$J$8+'[8]Cracker Yields'!$K$8*'Financial Model (84 Months)'!BZ15</f>
        <v>14526.098</v>
      </c>
      <c r="CA20" s="701">
        <f>CA12*'[8]Cracker Yields'!$H$8+'[8]Cracker Yields'!$I$8*'Financial Model (84 Months)'!CA13+'Financial Model (84 Months)'!CA14*'[8]Cracker Yields'!$J$8+'[8]Cracker Yields'!$K$8*'Financial Model (84 Months)'!CA15</f>
        <v>14526.098</v>
      </c>
      <c r="CB20" s="701">
        <f>CB12*'[8]Cracker Yields'!$H$8+'[8]Cracker Yields'!$I$8*'Financial Model (84 Months)'!CB13+'Financial Model (84 Months)'!CB14*'[8]Cracker Yields'!$J$8+'[8]Cracker Yields'!$K$8*'Financial Model (84 Months)'!CB15</f>
        <v>14526.098</v>
      </c>
      <c r="CC20" s="701">
        <f>CC12*'[8]Cracker Yields'!$H$8+'[8]Cracker Yields'!$I$8*'Financial Model (84 Months)'!CC13+'Financial Model (84 Months)'!CC14*'[8]Cracker Yields'!$J$8+'[8]Cracker Yields'!$K$8*'Financial Model (84 Months)'!CC15</f>
        <v>14526.098</v>
      </c>
      <c r="CD20" s="701">
        <f>CD12*'[8]Cracker Yields'!$H$8+'[8]Cracker Yields'!$I$8*'Financial Model (84 Months)'!CD13+'Financial Model (84 Months)'!CD14*'[8]Cracker Yields'!$J$8+'[8]Cracker Yields'!$K$8*'Financial Model (84 Months)'!CD15</f>
        <v>14526.098</v>
      </c>
      <c r="CE20" s="701">
        <f>CE12*'[8]Cracker Yields'!$H$8+'[8]Cracker Yields'!$I$8*'Financial Model (84 Months)'!CE13+'Financial Model (84 Months)'!CE14*'[8]Cracker Yields'!$J$8+'[8]Cracker Yields'!$K$8*'Financial Model (84 Months)'!CE15</f>
        <v>14526.098</v>
      </c>
      <c r="CF20" s="701">
        <f>CF12*'[8]Cracker Yields'!$H$8+'[8]Cracker Yields'!$I$8*'Financial Model (84 Months)'!CF13+'Financial Model (84 Months)'!CF14*'[8]Cracker Yields'!$J$8+'[8]Cracker Yields'!$K$8*'Financial Model (84 Months)'!CF15</f>
        <v>14526.098</v>
      </c>
      <c r="CG20" s="701">
        <f>CG12*'[8]Cracker Yields'!$H$8+'[8]Cracker Yields'!$I$8*'Financial Model (84 Months)'!CG13+'Financial Model (84 Months)'!CG14*'[8]Cracker Yields'!$J$8+'[8]Cracker Yields'!$K$8*'Financial Model (84 Months)'!CG15</f>
        <v>14526.098</v>
      </c>
      <c r="CH20" s="701">
        <f>CH12*'[8]Cracker Yields'!$H$8+'[8]Cracker Yields'!$I$8*'Financial Model (84 Months)'!CH13+'Financial Model (84 Months)'!CH14*'[8]Cracker Yields'!$J$8+'[8]Cracker Yields'!$K$8*'Financial Model (84 Months)'!CH15</f>
        <v>14526.098</v>
      </c>
      <c r="CI20" s="701">
        <f>CI12*'[8]Cracker Yields'!$H$8+'[8]Cracker Yields'!$I$8*'Financial Model (84 Months)'!CI13+'Financial Model (84 Months)'!CI14*'[8]Cracker Yields'!$J$8+'[8]Cracker Yields'!$K$8*'Financial Model (84 Months)'!CI15</f>
        <v>14526.098</v>
      </c>
      <c r="CJ20" s="701">
        <f>CJ12*'[8]Cracker Yields'!$H$8+'[8]Cracker Yields'!$I$8*'Financial Model (84 Months)'!CJ13+'Financial Model (84 Months)'!CJ14*'[8]Cracker Yields'!$J$8+'[8]Cracker Yields'!$K$8*'Financial Model (84 Months)'!CJ15</f>
        <v>14526.098</v>
      </c>
      <c r="CK20" s="701">
        <f>CK12*'[8]Cracker Yields'!$H$8+'[8]Cracker Yields'!$I$8*'Financial Model (84 Months)'!CK13+'Financial Model (84 Months)'!CK14*'[8]Cracker Yields'!$J$8+'[8]Cracker Yields'!$K$8*'Financial Model (84 Months)'!CK15</f>
        <v>14526.098</v>
      </c>
      <c r="CL20" s="703">
        <f>CL12*'[8]Cracker Yields'!$H$8+'[8]Cracker Yields'!$I$8*'Financial Model (84 Months)'!CL13+'Financial Model (84 Months)'!CL14*'[8]Cracker Yields'!$J$8+'[8]Cracker Yields'!$K$8*'Financial Model (84 Months)'!CL15</f>
        <v>14526.098</v>
      </c>
      <c r="CM20" s="642">
        <f t="shared" si="0"/>
        <v>14526.098000000002</v>
      </c>
      <c r="CN20" s="245"/>
      <c r="CO20" s="245"/>
      <c r="CP20" s="245"/>
      <c r="CQ20" s="245"/>
      <c r="CR20" s="245"/>
      <c r="CS20" s="245"/>
      <c r="CT20" s="245"/>
      <c r="CU20" s="245"/>
      <c r="CV20" s="245"/>
      <c r="CW20" s="245"/>
      <c r="CX20" s="245"/>
      <c r="CY20" s="245"/>
      <c r="CZ20" s="245"/>
      <c r="DA20" s="245"/>
      <c r="DB20" s="245"/>
      <c r="DC20" s="245"/>
      <c r="DD20" s="245"/>
      <c r="DE20" s="245"/>
      <c r="DF20" s="245"/>
      <c r="DG20" s="245"/>
      <c r="DH20" s="245"/>
      <c r="DI20" s="245"/>
      <c r="DJ20" s="245"/>
      <c r="DK20" s="245"/>
      <c r="DL20" s="245"/>
      <c r="DM20" s="245"/>
      <c r="DN20" s="245"/>
      <c r="DO20" s="245"/>
      <c r="DP20" s="245"/>
      <c r="DQ20" s="245"/>
      <c r="DR20" s="245"/>
      <c r="DS20" s="245"/>
      <c r="DT20" s="245"/>
      <c r="DU20" s="245"/>
      <c r="DV20" s="245"/>
      <c r="DW20" s="245"/>
      <c r="DX20" s="245"/>
      <c r="DY20" s="245"/>
      <c r="DZ20" s="245"/>
      <c r="EA20" s="245"/>
      <c r="EB20" s="245"/>
      <c r="EC20" s="245"/>
      <c r="ED20" s="245"/>
      <c r="EE20" s="245"/>
      <c r="EF20" s="245"/>
      <c r="EG20" s="245"/>
      <c r="EH20" s="245"/>
      <c r="EI20" s="245"/>
      <c r="EJ20" s="245"/>
      <c r="EK20" s="245"/>
      <c r="EL20" s="245"/>
      <c r="EM20" s="245"/>
      <c r="EN20" s="245"/>
      <c r="EO20" s="245"/>
      <c r="EP20" s="245"/>
      <c r="EQ20" s="245"/>
      <c r="ER20" s="245"/>
      <c r="ES20" s="245"/>
      <c r="ET20" s="245"/>
      <c r="EU20" s="245"/>
      <c r="EV20" s="245"/>
      <c r="EW20" s="245"/>
      <c r="EX20" s="245"/>
      <c r="EY20" s="245"/>
      <c r="EZ20" s="245"/>
      <c r="FA20" s="245"/>
      <c r="FB20" s="245"/>
      <c r="FC20" s="245"/>
      <c r="FD20" s="245"/>
      <c r="FE20" s="245"/>
      <c r="FF20" s="245"/>
      <c r="FG20" s="245"/>
      <c r="FH20" s="245"/>
      <c r="FI20" s="245"/>
      <c r="FJ20" s="245"/>
      <c r="FK20" s="245"/>
      <c r="FL20" s="245"/>
      <c r="FM20" s="245"/>
      <c r="FN20" s="245"/>
      <c r="FO20" s="245"/>
      <c r="FP20" s="245"/>
      <c r="FQ20" s="245"/>
      <c r="FR20" s="245"/>
      <c r="FS20" s="245"/>
      <c r="FT20" s="245"/>
      <c r="FU20" s="245"/>
      <c r="FV20" s="245"/>
    </row>
    <row r="21" spans="1:178">
      <c r="A21" s="1041"/>
      <c r="B21" s="639" t="s">
        <v>312</v>
      </c>
      <c r="C21" s="640" t="s">
        <v>313</v>
      </c>
      <c r="D21" s="640"/>
      <c r="E21" s="1044"/>
      <c r="F21" s="700" t="str">
        <f>F10</f>
        <v xml:space="preserve"> CBFS </v>
      </c>
      <c r="G21" s="701">
        <f>G12*'[8]Cracker Yields'!$H$5+'[8]Cracker Yields'!$I$5*'Financial Model (84 Months)'!G13+'Financial Model (84 Months)'!G14*'[8]Cracker Yields'!$J$5+'[8]Cracker Yields'!$K$5*'Financial Model (84 Months)'!G15</f>
        <v>5746.7666666666664</v>
      </c>
      <c r="H21" s="701">
        <f>H12*'[8]Cracker Yields'!$H$5+'[8]Cracker Yields'!$I$5*'Financial Model (84 Months)'!H13+'Financial Model (84 Months)'!H14*'[8]Cracker Yields'!$J$5+'[8]Cracker Yields'!$K$5*'Financial Model (84 Months)'!H15</f>
        <v>5746.7666666666664</v>
      </c>
      <c r="I21" s="701">
        <f>I12*'[8]Cracker Yields'!$H$5+'[8]Cracker Yields'!$I$5*'Financial Model (84 Months)'!I13+'Financial Model (84 Months)'!I14*'[8]Cracker Yields'!$J$5+'[8]Cracker Yields'!$K$5*'Financial Model (84 Months)'!I15</f>
        <v>5746.7666666666664</v>
      </c>
      <c r="J21" s="701">
        <f>J12*'[8]Cracker Yields'!$H$5+'[8]Cracker Yields'!$I$5*'Financial Model (84 Months)'!J13+'Financial Model (84 Months)'!J14*'[8]Cracker Yields'!$J$5+'[8]Cracker Yields'!$K$5*'Financial Model (84 Months)'!J15</f>
        <v>5746.7666666666664</v>
      </c>
      <c r="K21" s="701">
        <f>K12*'[8]Cracker Yields'!$H$5+'[8]Cracker Yields'!$I$5*'Financial Model (84 Months)'!K13+'Financial Model (84 Months)'!K14*'[8]Cracker Yields'!$J$5+'[8]Cracker Yields'!$K$5*'Financial Model (84 Months)'!K15</f>
        <v>5746.7666666666664</v>
      </c>
      <c r="L21" s="701">
        <f>L12*'[8]Cracker Yields'!$H$5+'[8]Cracker Yields'!$I$5*'Financial Model (84 Months)'!L13+'Financial Model (84 Months)'!L14*'[8]Cracker Yields'!$J$5+'[8]Cracker Yields'!$K$5*'Financial Model (84 Months)'!L15</f>
        <v>5746.7666666666664</v>
      </c>
      <c r="M21" s="701">
        <f>M12*'[8]Cracker Yields'!$H$5+'[8]Cracker Yields'!$I$5*'Financial Model (84 Months)'!M13+'Financial Model (84 Months)'!M14*'[8]Cracker Yields'!$J$5+'[8]Cracker Yields'!$K$5*'Financial Model (84 Months)'!M15</f>
        <v>5746.7666666666664</v>
      </c>
      <c r="N21" s="701">
        <f>N12*'[8]Cracker Yields'!$H$5+'[8]Cracker Yields'!$I$5*'Financial Model (84 Months)'!N13+'Financial Model (84 Months)'!N14*'[8]Cracker Yields'!$J$5+'[8]Cracker Yields'!$K$5*'Financial Model (84 Months)'!N15</f>
        <v>5746.7666666666664</v>
      </c>
      <c r="O21" s="701">
        <f>O12*'[8]Cracker Yields'!$H$5+'[8]Cracker Yields'!$I$5*'Financial Model (84 Months)'!O13+'Financial Model (84 Months)'!O14*'[8]Cracker Yields'!$J$5+'[8]Cracker Yields'!$K$5*'Financial Model (84 Months)'!O15</f>
        <v>5746.7666666666664</v>
      </c>
      <c r="P21" s="701">
        <f>P12*'[8]Cracker Yields'!$H$5+'[8]Cracker Yields'!$I$5*'Financial Model (84 Months)'!P13+'Financial Model (84 Months)'!P14*'[8]Cracker Yields'!$J$5+'[8]Cracker Yields'!$K$5*'Financial Model (84 Months)'!P15</f>
        <v>5746.7666666666664</v>
      </c>
      <c r="Q21" s="701">
        <f>Q12*'[8]Cracker Yields'!$H$5+'[8]Cracker Yields'!$I$5*'Financial Model (84 Months)'!Q13+'Financial Model (84 Months)'!Q14*'[8]Cracker Yields'!$J$5+'[8]Cracker Yields'!$K$5*'Financial Model (84 Months)'!Q15</f>
        <v>5746.7666666666664</v>
      </c>
      <c r="R21" s="701">
        <f>R12*'[8]Cracker Yields'!$H$5+'[8]Cracker Yields'!$I$5*'Financial Model (84 Months)'!R13+'Financial Model (84 Months)'!R14*'[8]Cracker Yields'!$J$5+'[8]Cracker Yields'!$K$5*'Financial Model (84 Months)'!R15</f>
        <v>5746.7666666666664</v>
      </c>
      <c r="S21" s="701">
        <f>S12*'[8]Cracker Yields'!$H$5+'[8]Cracker Yields'!$I$5*'Financial Model (84 Months)'!S13+'Financial Model (84 Months)'!S14*'[8]Cracker Yields'!$J$5+'[8]Cracker Yields'!$K$5*'Financial Model (84 Months)'!S15</f>
        <v>5746.7666666666664</v>
      </c>
      <c r="T21" s="702">
        <f>T12*'[8]Cracker Yields'!$H$5+'[8]Cracker Yields'!$I$5*'Financial Model (84 Months)'!T13+'Financial Model (84 Months)'!T14*'[8]Cracker Yields'!$J$5+'[8]Cracker Yields'!$K$5*'Financial Model (84 Months)'!T15</f>
        <v>5746.7666666666664</v>
      </c>
      <c r="U21" s="701">
        <f>U12*'[8]Cracker Yields'!$H$5+'[8]Cracker Yields'!$I$5*'Financial Model (84 Months)'!U13+'Financial Model (84 Months)'!U14*'[8]Cracker Yields'!$J$5+'[8]Cracker Yields'!$K$5*'Financial Model (84 Months)'!U15</f>
        <v>5746.7666666666664</v>
      </c>
      <c r="V21" s="702">
        <f>V12*'[8]Cracker Yields'!$H$5+'[8]Cracker Yields'!$I$5*'Financial Model (84 Months)'!V13+'Financial Model (84 Months)'!V14*'[8]Cracker Yields'!$J$5+'[8]Cracker Yields'!$K$5*'Financial Model (84 Months)'!V15</f>
        <v>5746.7666666666664</v>
      </c>
      <c r="W21" s="701">
        <f>W12*'[8]Cracker Yields'!$H$5+'[8]Cracker Yields'!$I$5*'Financial Model (84 Months)'!W13+'Financial Model (84 Months)'!W14*'[8]Cracker Yields'!$J$5+'[8]Cracker Yields'!$K$5*'Financial Model (84 Months)'!W15</f>
        <v>5746.7666666666664</v>
      </c>
      <c r="X21" s="702">
        <f>X12*'[8]Cracker Yields'!$H$5+'[8]Cracker Yields'!$I$5*'Financial Model (84 Months)'!X13+'Financial Model (84 Months)'!X14*'[8]Cracker Yields'!$J$5+'[8]Cracker Yields'!$K$5*'Financial Model (84 Months)'!X15</f>
        <v>5746.7666666666664</v>
      </c>
      <c r="Y21" s="701">
        <f>Y12*'[8]Cracker Yields'!$H$5+'[8]Cracker Yields'!$I$5*'Financial Model (84 Months)'!Y13+'Financial Model (84 Months)'!Y14*'[8]Cracker Yields'!$J$5+'[8]Cracker Yields'!$K$5*'Financial Model (84 Months)'!Y15</f>
        <v>5746.7666666666664</v>
      </c>
      <c r="Z21" s="702">
        <f>Z12*'[8]Cracker Yields'!$H$5+'[8]Cracker Yields'!$I$5*'Financial Model (84 Months)'!Z13+'Financial Model (84 Months)'!Z14*'[8]Cracker Yields'!$J$5+'[8]Cracker Yields'!$K$5*'Financial Model (84 Months)'!Z15</f>
        <v>5746.7666666666664</v>
      </c>
      <c r="AA21" s="701">
        <f>AA12*'[8]Cracker Yields'!$H$5+'[8]Cracker Yields'!$I$5*'Financial Model (84 Months)'!AA13+'Financial Model (84 Months)'!AA14*'[8]Cracker Yields'!$J$5+'[8]Cracker Yields'!$K$5*'Financial Model (84 Months)'!AA15</f>
        <v>5746.7666666666664</v>
      </c>
      <c r="AB21" s="702">
        <f>AB12*'[8]Cracker Yields'!$H$5+'[8]Cracker Yields'!$I$5*'Financial Model (84 Months)'!AB13+'Financial Model (84 Months)'!AB14*'[8]Cracker Yields'!$J$5+'[8]Cracker Yields'!$K$5*'Financial Model (84 Months)'!AB15</f>
        <v>5746.7666666666664</v>
      </c>
      <c r="AC21" s="701">
        <f>AC12*'[8]Cracker Yields'!$H$5+'[8]Cracker Yields'!$I$5*'Financial Model (84 Months)'!AC13+'Financial Model (84 Months)'!AC14*'[8]Cracker Yields'!$J$5+'[8]Cracker Yields'!$K$5*'Financial Model (84 Months)'!AC15</f>
        <v>5746.7666666666664</v>
      </c>
      <c r="AD21" s="702">
        <f>AD12*'[8]Cracker Yields'!$H$5+'[8]Cracker Yields'!$I$5*'Financial Model (84 Months)'!AD13+'Financial Model (84 Months)'!AD14*'[8]Cracker Yields'!$J$5+'[8]Cracker Yields'!$K$5*'Financial Model (84 Months)'!AD15</f>
        <v>5746.7666666666664</v>
      </c>
      <c r="AE21" s="701">
        <f>AE12*'[8]Cracker Yields'!$H$5+'[8]Cracker Yields'!$I$5*'Financial Model (84 Months)'!AE13+'Financial Model (84 Months)'!AE14*'[8]Cracker Yields'!$J$5+'[8]Cracker Yields'!$K$5*'Financial Model (84 Months)'!AE15</f>
        <v>5746.7666666666664</v>
      </c>
      <c r="AF21" s="702">
        <f>AF12*'[8]Cracker Yields'!$H$5+'[8]Cracker Yields'!$I$5*'Financial Model (84 Months)'!AF13+'Financial Model (84 Months)'!AF14*'[8]Cracker Yields'!$J$5+'[8]Cracker Yields'!$K$5*'Financial Model (84 Months)'!AF15</f>
        <v>5746.7666666666664</v>
      </c>
      <c r="AG21" s="701">
        <f>AG12*'[8]Cracker Yields'!$H$5+'[8]Cracker Yields'!$I$5*'Financial Model (84 Months)'!AG13+'Financial Model (84 Months)'!AG14*'[8]Cracker Yields'!$J$5+'[8]Cracker Yields'!$K$5*'Financial Model (84 Months)'!AG15</f>
        <v>5746.7666666666664</v>
      </c>
      <c r="AH21" s="702">
        <f>AH12*'[8]Cracker Yields'!$H$5+'[8]Cracker Yields'!$I$5*'Financial Model (84 Months)'!AH13+'Financial Model (84 Months)'!AH14*'[8]Cracker Yields'!$J$5+'[8]Cracker Yields'!$K$5*'Financial Model (84 Months)'!AH15</f>
        <v>5746.7666666666664</v>
      </c>
      <c r="AI21" s="701">
        <f>AI12*'[8]Cracker Yields'!$H$5+'[8]Cracker Yields'!$I$5*'Financial Model (84 Months)'!AI13+'Financial Model (84 Months)'!AI14*'[8]Cracker Yields'!$J$5+'[8]Cracker Yields'!$K$5*'Financial Model (84 Months)'!AI15</f>
        <v>5746.7666666666664</v>
      </c>
      <c r="AJ21" s="702">
        <f>AJ12*'[8]Cracker Yields'!$H$5+'[8]Cracker Yields'!$I$5*'Financial Model (84 Months)'!AJ13+'Financial Model (84 Months)'!AJ14*'[8]Cracker Yields'!$J$5+'[8]Cracker Yields'!$K$5*'Financial Model (84 Months)'!AJ15</f>
        <v>5746.7666666666664</v>
      </c>
      <c r="AK21" s="701">
        <f>AK12*'[8]Cracker Yields'!$H$5+'[8]Cracker Yields'!$I$5*'Financial Model (84 Months)'!AK13+'Financial Model (84 Months)'!AK14*'[8]Cracker Yields'!$J$5+'[8]Cracker Yields'!$K$5*'Financial Model (84 Months)'!AK15</f>
        <v>5746.7666666666664</v>
      </c>
      <c r="AL21" s="702">
        <f>AL12*'[8]Cracker Yields'!$H$5+'[8]Cracker Yields'!$I$5*'Financial Model (84 Months)'!AL13+'Financial Model (84 Months)'!AL14*'[8]Cracker Yields'!$J$5+'[8]Cracker Yields'!$K$5*'Financial Model (84 Months)'!AL15</f>
        <v>5746.7666666666664</v>
      </c>
      <c r="AM21" s="701">
        <f>AM12*'[8]Cracker Yields'!$H$5+'[8]Cracker Yields'!$I$5*'Financial Model (84 Months)'!AM13+'Financial Model (84 Months)'!AM14*'[8]Cracker Yields'!$J$5+'[8]Cracker Yields'!$K$5*'Financial Model (84 Months)'!AM15</f>
        <v>5746.7666666666664</v>
      </c>
      <c r="AN21" s="702">
        <f>AN12*'[8]Cracker Yields'!$H$5+'[8]Cracker Yields'!$I$5*'Financial Model (84 Months)'!AN13+'Financial Model (84 Months)'!AN14*'[8]Cracker Yields'!$J$5+'[8]Cracker Yields'!$K$5*'Financial Model (84 Months)'!AN15</f>
        <v>5746.7666666666664</v>
      </c>
      <c r="AO21" s="701">
        <f>AO12*'[8]Cracker Yields'!$H$5+'[8]Cracker Yields'!$I$5*'Financial Model (84 Months)'!AO13+'Financial Model (84 Months)'!AO14*'[8]Cracker Yields'!$J$5+'[8]Cracker Yields'!$K$5*'Financial Model (84 Months)'!AO15</f>
        <v>5746.7666666666664</v>
      </c>
      <c r="AP21" s="702">
        <f>AP12*'[8]Cracker Yields'!$H$5+'[8]Cracker Yields'!$I$5*'Financial Model (84 Months)'!AP13+'Financial Model (84 Months)'!AP14*'[8]Cracker Yields'!$J$5+'[8]Cracker Yields'!$K$5*'Financial Model (84 Months)'!AP15</f>
        <v>5746.7666666666664</v>
      </c>
      <c r="AQ21" s="701">
        <f>AQ12*'[8]Cracker Yields'!$H$5+'[8]Cracker Yields'!$I$5*'Financial Model (84 Months)'!AQ13+'Financial Model (84 Months)'!AQ14*'[8]Cracker Yields'!$J$5+'[8]Cracker Yields'!$K$5*'Financial Model (84 Months)'!AQ15</f>
        <v>5746.7666666666664</v>
      </c>
      <c r="AR21" s="702">
        <f>AR12*'[8]Cracker Yields'!$H$5+'[8]Cracker Yields'!$I$5*'Financial Model (84 Months)'!AR13+'Financial Model (84 Months)'!AR14*'[8]Cracker Yields'!$J$5+'[8]Cracker Yields'!$K$5*'Financial Model (84 Months)'!AR15</f>
        <v>5746.7666666666664</v>
      </c>
      <c r="AS21" s="701">
        <f>AS12*'[8]Cracker Yields'!$H$5+'[8]Cracker Yields'!$I$5*'Financial Model (84 Months)'!AS13+'Financial Model (84 Months)'!AS14*'[8]Cracker Yields'!$J$5+'[8]Cracker Yields'!$K$5*'Financial Model (84 Months)'!AS15</f>
        <v>5746.7666666666664</v>
      </c>
      <c r="AT21" s="702">
        <f>AT12*'[8]Cracker Yields'!$H$5+'[8]Cracker Yields'!$I$5*'Financial Model (84 Months)'!AT13+'Financial Model (84 Months)'!AT14*'[8]Cracker Yields'!$J$5+'[8]Cracker Yields'!$K$5*'Financial Model (84 Months)'!AT15</f>
        <v>5746.7666666666664</v>
      </c>
      <c r="AU21" s="701">
        <f>AU12*'[8]Cracker Yields'!$H$5+'[8]Cracker Yields'!$I$5*'Financial Model (84 Months)'!AU13+'Financial Model (84 Months)'!AU14*'[8]Cracker Yields'!$J$5+'[8]Cracker Yields'!$K$5*'Financial Model (84 Months)'!AU15</f>
        <v>5746.7666666666664</v>
      </c>
      <c r="AV21" s="701">
        <f>AV12*'[8]Cracker Yields'!$H$5+'[8]Cracker Yields'!$I$5*'Financial Model (84 Months)'!AV13+'Financial Model (84 Months)'!AV14*'[8]Cracker Yields'!$J$5+'[8]Cracker Yields'!$K$5*'Financial Model (84 Months)'!AV15</f>
        <v>5746.7666666666664</v>
      </c>
      <c r="AW21" s="701">
        <f>AW12*'[8]Cracker Yields'!$H$5+'[8]Cracker Yields'!$I$5*'Financial Model (84 Months)'!AW13+'Financial Model (84 Months)'!AW14*'[8]Cracker Yields'!$J$5+'[8]Cracker Yields'!$K$5*'Financial Model (84 Months)'!AW15</f>
        <v>5746.7666666666664</v>
      </c>
      <c r="AX21" s="701">
        <f>AX12*'[8]Cracker Yields'!$H$5+'[8]Cracker Yields'!$I$5*'Financial Model (84 Months)'!AX13+'Financial Model (84 Months)'!AX14*'[8]Cracker Yields'!$J$5+'[8]Cracker Yields'!$K$5*'Financial Model (84 Months)'!AX15</f>
        <v>5746.7666666666664</v>
      </c>
      <c r="AY21" s="701">
        <f>AY12*'[8]Cracker Yields'!$H$5+'[8]Cracker Yields'!$I$5*'Financial Model (84 Months)'!AY13+'Financial Model (84 Months)'!AY14*'[8]Cracker Yields'!$J$5+'[8]Cracker Yields'!$K$5*'Financial Model (84 Months)'!AY15</f>
        <v>5746.7666666666664</v>
      </c>
      <c r="AZ21" s="701">
        <f>AZ12*'[8]Cracker Yields'!$H$5+'[8]Cracker Yields'!$I$5*'Financial Model (84 Months)'!AZ13+'Financial Model (84 Months)'!AZ14*'[8]Cracker Yields'!$J$5+'[8]Cracker Yields'!$K$5*'Financial Model (84 Months)'!AZ15</f>
        <v>5746.7666666666664</v>
      </c>
      <c r="BA21" s="701">
        <f>BA12*'[8]Cracker Yields'!$H$5+'[8]Cracker Yields'!$I$5*'Financial Model (84 Months)'!BA13+'Financial Model (84 Months)'!BA14*'[8]Cracker Yields'!$J$5+'[8]Cracker Yields'!$K$5*'Financial Model (84 Months)'!BA15</f>
        <v>5746.7666666666664</v>
      </c>
      <c r="BB21" s="701">
        <f>BB12*'[8]Cracker Yields'!$H$5+'[8]Cracker Yields'!$I$5*'Financial Model (84 Months)'!BB13+'Financial Model (84 Months)'!BB14*'[8]Cracker Yields'!$J$5+'[8]Cracker Yields'!$K$5*'Financial Model (84 Months)'!BB15</f>
        <v>5746.7666666666664</v>
      </c>
      <c r="BC21" s="701">
        <f>BC12*'[8]Cracker Yields'!$H$5+'[8]Cracker Yields'!$I$5*'Financial Model (84 Months)'!BC13+'Financial Model (84 Months)'!BC14*'[8]Cracker Yields'!$J$5+'[8]Cracker Yields'!$K$5*'Financial Model (84 Months)'!BC15</f>
        <v>5746.7666666666664</v>
      </c>
      <c r="BD21" s="701">
        <f>BD12*'[8]Cracker Yields'!$H$5+'[8]Cracker Yields'!$I$5*'Financial Model (84 Months)'!BD13+'Financial Model (84 Months)'!BD14*'[8]Cracker Yields'!$J$5+'[8]Cracker Yields'!$K$5*'Financial Model (84 Months)'!BD15</f>
        <v>5746.7666666666664</v>
      </c>
      <c r="BE21" s="701">
        <f>BE12*'[8]Cracker Yields'!$H$5+'[8]Cracker Yields'!$I$5*'Financial Model (84 Months)'!BE13+'Financial Model (84 Months)'!BE14*'[8]Cracker Yields'!$J$5+'[8]Cracker Yields'!$K$5*'Financial Model (84 Months)'!BE15</f>
        <v>5746.7666666666664</v>
      </c>
      <c r="BF21" s="701">
        <f>BF12*'[8]Cracker Yields'!$H$5+'[8]Cracker Yields'!$I$5*'Financial Model (84 Months)'!BF13+'Financial Model (84 Months)'!BF14*'[8]Cracker Yields'!$J$5+'[8]Cracker Yields'!$K$5*'Financial Model (84 Months)'!BF15</f>
        <v>5746.7666666666664</v>
      </c>
      <c r="BG21" s="701">
        <f>BG12*'[8]Cracker Yields'!$H$5+'[8]Cracker Yields'!$I$5*'Financial Model (84 Months)'!BG13+'Financial Model (84 Months)'!BG14*'[8]Cracker Yields'!$J$5+'[8]Cracker Yields'!$K$5*'Financial Model (84 Months)'!BG15</f>
        <v>5746.7666666666664</v>
      </c>
      <c r="BH21" s="701">
        <f>BH12*'[8]Cracker Yields'!$H$5+'[8]Cracker Yields'!$I$5*'Financial Model (84 Months)'!BH13+'Financial Model (84 Months)'!BH14*'[8]Cracker Yields'!$J$5+'[8]Cracker Yields'!$K$5*'Financial Model (84 Months)'!BH15</f>
        <v>5746.7666666666664</v>
      </c>
      <c r="BI21" s="701">
        <f>BI12*'[8]Cracker Yields'!$H$5+'[8]Cracker Yields'!$I$5*'Financial Model (84 Months)'!BI13+'Financial Model (84 Months)'!BI14*'[8]Cracker Yields'!$J$5+'[8]Cracker Yields'!$K$5*'Financial Model (84 Months)'!BI15</f>
        <v>5746.7666666666664</v>
      </c>
      <c r="BJ21" s="701">
        <f>BJ12*'[8]Cracker Yields'!$H$5+'[8]Cracker Yields'!$I$5*'Financial Model (84 Months)'!BJ13+'Financial Model (84 Months)'!BJ14*'[8]Cracker Yields'!$J$5+'[8]Cracker Yields'!$K$5*'Financial Model (84 Months)'!BJ15</f>
        <v>5746.7666666666664</v>
      </c>
      <c r="BK21" s="701">
        <f>BK12*'[8]Cracker Yields'!$H$5+'[8]Cracker Yields'!$I$5*'Financial Model (84 Months)'!BK13+'Financial Model (84 Months)'!BK14*'[8]Cracker Yields'!$J$5+'[8]Cracker Yields'!$K$5*'Financial Model (84 Months)'!BK15</f>
        <v>5746.7666666666664</v>
      </c>
      <c r="BL21" s="701">
        <f>BL12*'[8]Cracker Yields'!$H$5+'[8]Cracker Yields'!$I$5*'Financial Model (84 Months)'!BL13+'Financial Model (84 Months)'!BL14*'[8]Cracker Yields'!$J$5+'[8]Cracker Yields'!$K$5*'Financial Model (84 Months)'!BL15</f>
        <v>5746.7666666666664</v>
      </c>
      <c r="BM21" s="701">
        <f>BM12*'[8]Cracker Yields'!$H$5+'[8]Cracker Yields'!$I$5*'Financial Model (84 Months)'!BM13+'Financial Model (84 Months)'!BM14*'[8]Cracker Yields'!$J$5+'[8]Cracker Yields'!$K$5*'Financial Model (84 Months)'!BM15</f>
        <v>5746.7666666666664</v>
      </c>
      <c r="BN21" s="701">
        <f>BN12*'[8]Cracker Yields'!$H$5+'[8]Cracker Yields'!$I$5*'Financial Model (84 Months)'!BN13+'Financial Model (84 Months)'!BN14*'[8]Cracker Yields'!$J$5+'[8]Cracker Yields'!$K$5*'Financial Model (84 Months)'!BN15</f>
        <v>5746.7666666666664</v>
      </c>
      <c r="BO21" s="701">
        <f>BO12*'[8]Cracker Yields'!$H$5+'[8]Cracker Yields'!$I$5*'Financial Model (84 Months)'!BO13+'Financial Model (84 Months)'!BO14*'[8]Cracker Yields'!$J$5+'[8]Cracker Yields'!$K$5*'Financial Model (84 Months)'!BO15</f>
        <v>5746.7666666666664</v>
      </c>
      <c r="BP21" s="701">
        <f>BP12*'[8]Cracker Yields'!$H$5+'[8]Cracker Yields'!$I$5*'Financial Model (84 Months)'!BP13+'Financial Model (84 Months)'!BP14*'[8]Cracker Yields'!$J$5+'[8]Cracker Yields'!$K$5*'Financial Model (84 Months)'!BP15</f>
        <v>5746.7666666666664</v>
      </c>
      <c r="BQ21" s="701">
        <f>BQ12*'[8]Cracker Yields'!$H$5+'[8]Cracker Yields'!$I$5*'Financial Model (84 Months)'!BQ13+'Financial Model (84 Months)'!BQ14*'[8]Cracker Yields'!$J$5+'[8]Cracker Yields'!$K$5*'Financial Model (84 Months)'!BQ15</f>
        <v>5746.7666666666664</v>
      </c>
      <c r="BR21" s="701">
        <f>BR12*'[8]Cracker Yields'!$H$5+'[8]Cracker Yields'!$I$5*'Financial Model (84 Months)'!BR13+'Financial Model (84 Months)'!BR14*'[8]Cracker Yields'!$J$5+'[8]Cracker Yields'!$K$5*'Financial Model (84 Months)'!BR15</f>
        <v>5746.7666666666664</v>
      </c>
      <c r="BS21" s="701">
        <f>BS12*'[8]Cracker Yields'!$H$5+'[8]Cracker Yields'!$I$5*'Financial Model (84 Months)'!BS13+'Financial Model (84 Months)'!BS14*'[8]Cracker Yields'!$J$5+'[8]Cracker Yields'!$K$5*'Financial Model (84 Months)'!BS15</f>
        <v>5746.7666666666664</v>
      </c>
      <c r="BT21" s="701">
        <f>BT12*'[8]Cracker Yields'!$H$5+'[8]Cracker Yields'!$I$5*'Financial Model (84 Months)'!BT13+'Financial Model (84 Months)'!BT14*'[8]Cracker Yields'!$J$5+'[8]Cracker Yields'!$K$5*'Financial Model (84 Months)'!BT15</f>
        <v>5746.7666666666664</v>
      </c>
      <c r="BU21" s="701">
        <f>BU12*'[8]Cracker Yields'!$H$5+'[8]Cracker Yields'!$I$5*'Financial Model (84 Months)'!BU13+'Financial Model (84 Months)'!BU14*'[8]Cracker Yields'!$J$5+'[8]Cracker Yields'!$K$5*'Financial Model (84 Months)'!BU15</f>
        <v>5746.7666666666664</v>
      </c>
      <c r="BV21" s="701">
        <f>BV12*'[8]Cracker Yields'!$H$5+'[8]Cracker Yields'!$I$5*'Financial Model (84 Months)'!BV13+'Financial Model (84 Months)'!BV14*'[8]Cracker Yields'!$J$5+'[8]Cracker Yields'!$K$5*'Financial Model (84 Months)'!BV15</f>
        <v>5746.7666666666664</v>
      </c>
      <c r="BW21" s="701">
        <f>BW12*'[8]Cracker Yields'!$H$5+'[8]Cracker Yields'!$I$5*'Financial Model (84 Months)'!BW13+'Financial Model (84 Months)'!BW14*'[8]Cracker Yields'!$J$5+'[8]Cracker Yields'!$K$5*'Financial Model (84 Months)'!BW15</f>
        <v>5746.7666666666664</v>
      </c>
      <c r="BX21" s="701">
        <f>BX12*'[8]Cracker Yields'!$H$5+'[8]Cracker Yields'!$I$5*'Financial Model (84 Months)'!BX13+'Financial Model (84 Months)'!BX14*'[8]Cracker Yields'!$J$5+'[8]Cracker Yields'!$K$5*'Financial Model (84 Months)'!BX15</f>
        <v>5746.7666666666664</v>
      </c>
      <c r="BY21" s="701">
        <f>BY12*'[8]Cracker Yields'!$H$5+'[8]Cracker Yields'!$I$5*'Financial Model (84 Months)'!BY13+'Financial Model (84 Months)'!BY14*'[8]Cracker Yields'!$J$5+'[8]Cracker Yields'!$K$5*'Financial Model (84 Months)'!BY15</f>
        <v>5746.7666666666664</v>
      </c>
      <c r="BZ21" s="701">
        <f>BZ12*'[8]Cracker Yields'!$H$5+'[8]Cracker Yields'!$I$5*'Financial Model (84 Months)'!BZ13+'Financial Model (84 Months)'!BZ14*'[8]Cracker Yields'!$J$5+'[8]Cracker Yields'!$K$5*'Financial Model (84 Months)'!BZ15</f>
        <v>5746.7666666666664</v>
      </c>
      <c r="CA21" s="701">
        <f>CA12*'[8]Cracker Yields'!$H$5+'[8]Cracker Yields'!$I$5*'Financial Model (84 Months)'!CA13+'Financial Model (84 Months)'!CA14*'[8]Cracker Yields'!$J$5+'[8]Cracker Yields'!$K$5*'Financial Model (84 Months)'!CA15</f>
        <v>5746.7666666666664</v>
      </c>
      <c r="CB21" s="701">
        <f>CB12*'[8]Cracker Yields'!$H$5+'[8]Cracker Yields'!$I$5*'Financial Model (84 Months)'!CB13+'Financial Model (84 Months)'!CB14*'[8]Cracker Yields'!$J$5+'[8]Cracker Yields'!$K$5*'Financial Model (84 Months)'!CB15</f>
        <v>5746.7666666666664</v>
      </c>
      <c r="CC21" s="701">
        <f>CC12*'[8]Cracker Yields'!$H$5+'[8]Cracker Yields'!$I$5*'Financial Model (84 Months)'!CC13+'Financial Model (84 Months)'!CC14*'[8]Cracker Yields'!$J$5+'[8]Cracker Yields'!$K$5*'Financial Model (84 Months)'!CC15</f>
        <v>5746.7666666666664</v>
      </c>
      <c r="CD21" s="701">
        <f>CD12*'[8]Cracker Yields'!$H$5+'[8]Cracker Yields'!$I$5*'Financial Model (84 Months)'!CD13+'Financial Model (84 Months)'!CD14*'[8]Cracker Yields'!$J$5+'[8]Cracker Yields'!$K$5*'Financial Model (84 Months)'!CD15</f>
        <v>5746.7666666666664</v>
      </c>
      <c r="CE21" s="701">
        <f>CE12*'[8]Cracker Yields'!$H$5+'[8]Cracker Yields'!$I$5*'Financial Model (84 Months)'!CE13+'Financial Model (84 Months)'!CE14*'[8]Cracker Yields'!$J$5+'[8]Cracker Yields'!$K$5*'Financial Model (84 Months)'!CE15</f>
        <v>5746.7666666666664</v>
      </c>
      <c r="CF21" s="701">
        <f>CF12*'[8]Cracker Yields'!$H$5+'[8]Cracker Yields'!$I$5*'Financial Model (84 Months)'!CF13+'Financial Model (84 Months)'!CF14*'[8]Cracker Yields'!$J$5+'[8]Cracker Yields'!$K$5*'Financial Model (84 Months)'!CF15</f>
        <v>5746.7666666666664</v>
      </c>
      <c r="CG21" s="701">
        <f>CG12*'[8]Cracker Yields'!$H$5+'[8]Cracker Yields'!$I$5*'Financial Model (84 Months)'!CG13+'Financial Model (84 Months)'!CG14*'[8]Cracker Yields'!$J$5+'[8]Cracker Yields'!$K$5*'Financial Model (84 Months)'!CG15</f>
        <v>5746.7666666666664</v>
      </c>
      <c r="CH21" s="701">
        <f>CH12*'[8]Cracker Yields'!$H$5+'[8]Cracker Yields'!$I$5*'Financial Model (84 Months)'!CH13+'Financial Model (84 Months)'!CH14*'[8]Cracker Yields'!$J$5+'[8]Cracker Yields'!$K$5*'Financial Model (84 Months)'!CH15</f>
        <v>5746.7666666666664</v>
      </c>
      <c r="CI21" s="701">
        <f>CI12*'[8]Cracker Yields'!$H$5+'[8]Cracker Yields'!$I$5*'Financial Model (84 Months)'!CI13+'Financial Model (84 Months)'!CI14*'[8]Cracker Yields'!$J$5+'[8]Cracker Yields'!$K$5*'Financial Model (84 Months)'!CI15</f>
        <v>5746.7666666666664</v>
      </c>
      <c r="CJ21" s="701">
        <f>CJ12*'[8]Cracker Yields'!$H$5+'[8]Cracker Yields'!$I$5*'Financial Model (84 Months)'!CJ13+'Financial Model (84 Months)'!CJ14*'[8]Cracker Yields'!$J$5+'[8]Cracker Yields'!$K$5*'Financial Model (84 Months)'!CJ15</f>
        <v>5746.7666666666664</v>
      </c>
      <c r="CK21" s="701">
        <f>CK12*'[8]Cracker Yields'!$H$5+'[8]Cracker Yields'!$I$5*'Financial Model (84 Months)'!CK13+'Financial Model (84 Months)'!CK14*'[8]Cracker Yields'!$J$5+'[8]Cracker Yields'!$K$5*'Financial Model (84 Months)'!CK15</f>
        <v>5746.7666666666664</v>
      </c>
      <c r="CL21" s="703">
        <f>CL12*'[8]Cracker Yields'!$H$5+'[8]Cracker Yields'!$I$5*'Financial Model (84 Months)'!CL13+'Financial Model (84 Months)'!CL14*'[8]Cracker Yields'!$J$5+'[8]Cracker Yields'!$K$5*'Financial Model (84 Months)'!CL15</f>
        <v>5746.7666666666664</v>
      </c>
      <c r="CM21" s="642">
        <f t="shared" si="0"/>
        <v>5746.7666666666637</v>
      </c>
      <c r="CN21" s="245"/>
      <c r="CO21" s="245"/>
      <c r="CP21" s="245"/>
      <c r="CQ21" s="245"/>
      <c r="CR21" s="245"/>
      <c r="CS21" s="245"/>
      <c r="CT21" s="245"/>
      <c r="CU21" s="245"/>
      <c r="CV21" s="245"/>
      <c r="CW21" s="245"/>
      <c r="CX21" s="245"/>
      <c r="CY21" s="245"/>
      <c r="CZ21" s="245"/>
      <c r="DA21" s="245"/>
      <c r="DB21" s="245"/>
      <c r="DC21" s="245"/>
      <c r="DD21" s="245"/>
      <c r="DE21" s="245"/>
      <c r="DF21" s="245"/>
      <c r="DG21" s="245"/>
      <c r="DH21" s="245"/>
      <c r="DI21" s="245"/>
      <c r="DJ21" s="245"/>
      <c r="DK21" s="245"/>
      <c r="DL21" s="245"/>
      <c r="DM21" s="245"/>
      <c r="DN21" s="245"/>
      <c r="DO21" s="245"/>
      <c r="DP21" s="245"/>
      <c r="DQ21" s="245"/>
      <c r="DR21" s="245"/>
      <c r="DS21" s="245"/>
      <c r="DT21" s="245"/>
      <c r="DU21" s="245"/>
      <c r="DV21" s="245"/>
      <c r="DW21" s="245"/>
      <c r="DX21" s="245"/>
      <c r="DY21" s="245"/>
      <c r="DZ21" s="245"/>
      <c r="EA21" s="245"/>
      <c r="EB21" s="245"/>
      <c r="EC21" s="245"/>
      <c r="ED21" s="245"/>
      <c r="EE21" s="245"/>
      <c r="EF21" s="245"/>
      <c r="EG21" s="245"/>
      <c r="EH21" s="245"/>
      <c r="EI21" s="245"/>
      <c r="EJ21" s="245"/>
      <c r="EK21" s="245"/>
      <c r="EL21" s="245"/>
      <c r="EM21" s="245"/>
      <c r="EN21" s="245"/>
      <c r="EO21" s="245"/>
      <c r="EP21" s="245"/>
      <c r="EQ21" s="245"/>
      <c r="ER21" s="245"/>
      <c r="ES21" s="245"/>
      <c r="ET21" s="245"/>
      <c r="EU21" s="245"/>
      <c r="EV21" s="245"/>
      <c r="EW21" s="245"/>
      <c r="EX21" s="245"/>
      <c r="EY21" s="245"/>
      <c r="EZ21" s="245"/>
      <c r="FA21" s="245"/>
      <c r="FB21" s="245"/>
      <c r="FC21" s="245"/>
      <c r="FD21" s="245"/>
      <c r="FE21" s="245"/>
      <c r="FF21" s="245"/>
      <c r="FG21" s="245"/>
      <c r="FH21" s="245"/>
      <c r="FI21" s="245"/>
      <c r="FJ21" s="245"/>
      <c r="FK21" s="245"/>
      <c r="FL21" s="245"/>
      <c r="FM21" s="245"/>
      <c r="FN21" s="245"/>
      <c r="FO21" s="245"/>
      <c r="FP21" s="245"/>
      <c r="FQ21" s="245"/>
      <c r="FR21" s="245"/>
      <c r="FS21" s="245"/>
      <c r="FT21" s="245"/>
      <c r="FU21" s="245"/>
      <c r="FV21" s="245"/>
    </row>
    <row r="22" spans="1:178">
      <c r="A22" s="1042"/>
      <c r="B22" s="647" t="s">
        <v>312</v>
      </c>
      <c r="C22" s="648" t="s">
        <v>313</v>
      </c>
      <c r="D22" s="648"/>
      <c r="E22" s="1045"/>
      <c r="F22" s="704" t="str">
        <f>F11</f>
        <v xml:space="preserve"> C9+   </v>
      </c>
      <c r="G22" s="705">
        <f>G12*'[8]Cracker Yields'!$H$11+'[8]Cracker Yields'!$I$11*'Financial Model (84 Months)'!G13+'Financial Model (84 Months)'!G14*'[8]Cracker Yields'!$J$11+'[8]Cracker Yields'!$K$11*'Financial Model (84 Months)'!G15</f>
        <v>2614.6976399999999</v>
      </c>
      <c r="H22" s="705">
        <f>H12*'[8]Cracker Yields'!$H$11+'[8]Cracker Yields'!$I$11*'Financial Model (84 Months)'!H13+'Financial Model (84 Months)'!H14*'[8]Cracker Yields'!$J$11+'[8]Cracker Yields'!$K$11*'Financial Model (84 Months)'!H15</f>
        <v>2614.6976399999999</v>
      </c>
      <c r="I22" s="705">
        <f>I12*'[8]Cracker Yields'!$H$11+'[8]Cracker Yields'!$I$11*'Financial Model (84 Months)'!I13+'Financial Model (84 Months)'!I14*'[8]Cracker Yields'!$J$11+'[8]Cracker Yields'!$K$11*'Financial Model (84 Months)'!I15</f>
        <v>2614.6976399999999</v>
      </c>
      <c r="J22" s="705">
        <f>J12*'[8]Cracker Yields'!$H$11+'[8]Cracker Yields'!$I$11*'Financial Model (84 Months)'!J13+'Financial Model (84 Months)'!J14*'[8]Cracker Yields'!$J$11+'[8]Cracker Yields'!$K$11*'Financial Model (84 Months)'!J15</f>
        <v>2614.6976399999999</v>
      </c>
      <c r="K22" s="705">
        <f>K12*'[8]Cracker Yields'!$H$11+'[8]Cracker Yields'!$I$11*'Financial Model (84 Months)'!K13+'Financial Model (84 Months)'!K14*'[8]Cracker Yields'!$J$11+'[8]Cracker Yields'!$K$11*'Financial Model (84 Months)'!K15</f>
        <v>2614.6976399999999</v>
      </c>
      <c r="L22" s="705">
        <f>L12*'[8]Cracker Yields'!$H$11+'[8]Cracker Yields'!$I$11*'Financial Model (84 Months)'!L13+'Financial Model (84 Months)'!L14*'[8]Cracker Yields'!$J$11+'[8]Cracker Yields'!$K$11*'Financial Model (84 Months)'!L15</f>
        <v>2614.6976399999999</v>
      </c>
      <c r="M22" s="705">
        <f>M12*'[8]Cracker Yields'!$H$11+'[8]Cracker Yields'!$I$11*'Financial Model (84 Months)'!M13+'Financial Model (84 Months)'!M14*'[8]Cracker Yields'!$J$11+'[8]Cracker Yields'!$K$11*'Financial Model (84 Months)'!M15</f>
        <v>2614.6976399999999</v>
      </c>
      <c r="N22" s="705">
        <f>N12*'[8]Cracker Yields'!$H$11+'[8]Cracker Yields'!$I$11*'Financial Model (84 Months)'!N13+'Financial Model (84 Months)'!N14*'[8]Cracker Yields'!$J$11+'[8]Cracker Yields'!$K$11*'Financial Model (84 Months)'!N15</f>
        <v>2614.6976399999999</v>
      </c>
      <c r="O22" s="705">
        <f>O12*'[8]Cracker Yields'!$H$11+'[8]Cracker Yields'!$I$11*'Financial Model (84 Months)'!O13+'Financial Model (84 Months)'!O14*'[8]Cracker Yields'!$J$11+'[8]Cracker Yields'!$K$11*'Financial Model (84 Months)'!O15</f>
        <v>2614.6976399999999</v>
      </c>
      <c r="P22" s="705">
        <f>P12*'[8]Cracker Yields'!$H$11+'[8]Cracker Yields'!$I$11*'Financial Model (84 Months)'!P13+'Financial Model (84 Months)'!P14*'[8]Cracker Yields'!$J$11+'[8]Cracker Yields'!$K$11*'Financial Model (84 Months)'!P15</f>
        <v>2614.6976399999999</v>
      </c>
      <c r="Q22" s="705">
        <f>Q12*'[8]Cracker Yields'!$H$11+'[8]Cracker Yields'!$I$11*'Financial Model (84 Months)'!Q13+'Financial Model (84 Months)'!Q14*'[8]Cracker Yields'!$J$11+'[8]Cracker Yields'!$K$11*'Financial Model (84 Months)'!Q15</f>
        <v>2614.6976399999999</v>
      </c>
      <c r="R22" s="705">
        <f>R12*'[8]Cracker Yields'!$H$11+'[8]Cracker Yields'!$I$11*'Financial Model (84 Months)'!R13+'Financial Model (84 Months)'!R14*'[8]Cracker Yields'!$J$11+'[8]Cracker Yields'!$K$11*'Financial Model (84 Months)'!R15</f>
        <v>2614.6976399999999</v>
      </c>
      <c r="S22" s="705">
        <f>S12*'[8]Cracker Yields'!$H$11+'[8]Cracker Yields'!$I$11*'Financial Model (84 Months)'!S13+'Financial Model (84 Months)'!S14*'[8]Cracker Yields'!$J$11+'[8]Cracker Yields'!$K$11*'Financial Model (84 Months)'!S15</f>
        <v>2614.6976399999999</v>
      </c>
      <c r="T22" s="706">
        <f>T12*'[8]Cracker Yields'!$H$11+'[8]Cracker Yields'!$I$11*'Financial Model (84 Months)'!T13+'Financial Model (84 Months)'!T14*'[8]Cracker Yields'!$J$11+'[8]Cracker Yields'!$K$11*'Financial Model (84 Months)'!T15</f>
        <v>2614.6976399999999</v>
      </c>
      <c r="U22" s="705">
        <f>U12*'[8]Cracker Yields'!$H$11+'[8]Cracker Yields'!$I$11*'Financial Model (84 Months)'!U13+'Financial Model (84 Months)'!U14*'[8]Cracker Yields'!$J$11+'[8]Cracker Yields'!$K$11*'Financial Model (84 Months)'!U15</f>
        <v>2614.6976399999999</v>
      </c>
      <c r="V22" s="706">
        <f>V12*'[8]Cracker Yields'!$H$11+'[8]Cracker Yields'!$I$11*'Financial Model (84 Months)'!V13+'Financial Model (84 Months)'!V14*'[8]Cracker Yields'!$J$11+'[8]Cracker Yields'!$K$11*'Financial Model (84 Months)'!V15</f>
        <v>2614.6976399999999</v>
      </c>
      <c r="W22" s="705">
        <f>W12*'[8]Cracker Yields'!$H$11+'[8]Cracker Yields'!$I$11*'Financial Model (84 Months)'!W13+'Financial Model (84 Months)'!W14*'[8]Cracker Yields'!$J$11+'[8]Cracker Yields'!$K$11*'Financial Model (84 Months)'!W15</f>
        <v>2614.6976399999999</v>
      </c>
      <c r="X22" s="706">
        <f>X12*'[8]Cracker Yields'!$H$11+'[8]Cracker Yields'!$I$11*'Financial Model (84 Months)'!X13+'Financial Model (84 Months)'!X14*'[8]Cracker Yields'!$J$11+'[8]Cracker Yields'!$K$11*'Financial Model (84 Months)'!X15</f>
        <v>2614.6976399999999</v>
      </c>
      <c r="Y22" s="705">
        <f>Y12*'[8]Cracker Yields'!$H$11+'[8]Cracker Yields'!$I$11*'Financial Model (84 Months)'!Y13+'Financial Model (84 Months)'!Y14*'[8]Cracker Yields'!$J$11+'[8]Cracker Yields'!$K$11*'Financial Model (84 Months)'!Y15</f>
        <v>2614.6976399999999</v>
      </c>
      <c r="Z22" s="706">
        <f>Z12*'[8]Cracker Yields'!$H$11+'[8]Cracker Yields'!$I$11*'Financial Model (84 Months)'!Z13+'Financial Model (84 Months)'!Z14*'[8]Cracker Yields'!$J$11+'[8]Cracker Yields'!$K$11*'Financial Model (84 Months)'!Z15</f>
        <v>2614.6976399999999</v>
      </c>
      <c r="AA22" s="705">
        <f>AA12*'[8]Cracker Yields'!$H$11+'[8]Cracker Yields'!$I$11*'Financial Model (84 Months)'!AA13+'Financial Model (84 Months)'!AA14*'[8]Cracker Yields'!$J$11+'[8]Cracker Yields'!$K$11*'Financial Model (84 Months)'!AA15</f>
        <v>2614.6976399999999</v>
      </c>
      <c r="AB22" s="706">
        <f>AB12*'[8]Cracker Yields'!$H$11+'[8]Cracker Yields'!$I$11*'Financial Model (84 Months)'!AB13+'Financial Model (84 Months)'!AB14*'[8]Cracker Yields'!$J$11+'[8]Cracker Yields'!$K$11*'Financial Model (84 Months)'!AB15</f>
        <v>2614.6976399999999</v>
      </c>
      <c r="AC22" s="705">
        <f>AC12*'[8]Cracker Yields'!$H$11+'[8]Cracker Yields'!$I$11*'Financial Model (84 Months)'!AC13+'Financial Model (84 Months)'!AC14*'[8]Cracker Yields'!$J$11+'[8]Cracker Yields'!$K$11*'Financial Model (84 Months)'!AC15</f>
        <v>2614.6976399999999</v>
      </c>
      <c r="AD22" s="706">
        <f>AD12*'[8]Cracker Yields'!$H$11+'[8]Cracker Yields'!$I$11*'Financial Model (84 Months)'!AD13+'Financial Model (84 Months)'!AD14*'[8]Cracker Yields'!$J$11+'[8]Cracker Yields'!$K$11*'Financial Model (84 Months)'!AD15</f>
        <v>2614.6976399999999</v>
      </c>
      <c r="AE22" s="705">
        <f>AE12*'[8]Cracker Yields'!$H$11+'[8]Cracker Yields'!$I$11*'Financial Model (84 Months)'!AE13+'Financial Model (84 Months)'!AE14*'[8]Cracker Yields'!$J$11+'[8]Cracker Yields'!$K$11*'Financial Model (84 Months)'!AE15</f>
        <v>2614.6976399999999</v>
      </c>
      <c r="AF22" s="706">
        <f>AF12*'[8]Cracker Yields'!$H$11+'[8]Cracker Yields'!$I$11*'Financial Model (84 Months)'!AF13+'Financial Model (84 Months)'!AF14*'[8]Cracker Yields'!$J$11+'[8]Cracker Yields'!$K$11*'Financial Model (84 Months)'!AF15</f>
        <v>2614.6976399999999</v>
      </c>
      <c r="AG22" s="705">
        <f>AG12*'[8]Cracker Yields'!$H$11+'[8]Cracker Yields'!$I$11*'Financial Model (84 Months)'!AG13+'Financial Model (84 Months)'!AG14*'[8]Cracker Yields'!$J$11+'[8]Cracker Yields'!$K$11*'Financial Model (84 Months)'!AG15</f>
        <v>2614.6976399999999</v>
      </c>
      <c r="AH22" s="706">
        <f>AH12*'[8]Cracker Yields'!$H$11+'[8]Cracker Yields'!$I$11*'Financial Model (84 Months)'!AH13+'Financial Model (84 Months)'!AH14*'[8]Cracker Yields'!$J$11+'[8]Cracker Yields'!$K$11*'Financial Model (84 Months)'!AH15</f>
        <v>2614.6976399999999</v>
      </c>
      <c r="AI22" s="705">
        <f>AI12*'[8]Cracker Yields'!$H$11+'[8]Cracker Yields'!$I$11*'Financial Model (84 Months)'!AI13+'Financial Model (84 Months)'!AI14*'[8]Cracker Yields'!$J$11+'[8]Cracker Yields'!$K$11*'Financial Model (84 Months)'!AI15</f>
        <v>2614.6976399999999</v>
      </c>
      <c r="AJ22" s="706">
        <f>AJ12*'[8]Cracker Yields'!$H$11+'[8]Cracker Yields'!$I$11*'Financial Model (84 Months)'!AJ13+'Financial Model (84 Months)'!AJ14*'[8]Cracker Yields'!$J$11+'[8]Cracker Yields'!$K$11*'Financial Model (84 Months)'!AJ15</f>
        <v>2614.6976399999999</v>
      </c>
      <c r="AK22" s="705">
        <f>AK12*'[8]Cracker Yields'!$H$11+'[8]Cracker Yields'!$I$11*'Financial Model (84 Months)'!AK13+'Financial Model (84 Months)'!AK14*'[8]Cracker Yields'!$J$11+'[8]Cracker Yields'!$K$11*'Financial Model (84 Months)'!AK15</f>
        <v>2614.6976399999999</v>
      </c>
      <c r="AL22" s="706">
        <f>AL12*'[8]Cracker Yields'!$H$11+'[8]Cracker Yields'!$I$11*'Financial Model (84 Months)'!AL13+'Financial Model (84 Months)'!AL14*'[8]Cracker Yields'!$J$11+'[8]Cracker Yields'!$K$11*'Financial Model (84 Months)'!AL15</f>
        <v>2614.6976399999999</v>
      </c>
      <c r="AM22" s="705">
        <f>AM12*'[8]Cracker Yields'!$H$11+'[8]Cracker Yields'!$I$11*'Financial Model (84 Months)'!AM13+'Financial Model (84 Months)'!AM14*'[8]Cracker Yields'!$J$11+'[8]Cracker Yields'!$K$11*'Financial Model (84 Months)'!AM15</f>
        <v>2614.6976399999999</v>
      </c>
      <c r="AN22" s="706">
        <f>AN12*'[8]Cracker Yields'!$H$11+'[8]Cracker Yields'!$I$11*'Financial Model (84 Months)'!AN13+'Financial Model (84 Months)'!AN14*'[8]Cracker Yields'!$J$11+'[8]Cracker Yields'!$K$11*'Financial Model (84 Months)'!AN15</f>
        <v>2614.6976399999999</v>
      </c>
      <c r="AO22" s="705">
        <f>AO12*'[8]Cracker Yields'!$H$11+'[8]Cracker Yields'!$I$11*'Financial Model (84 Months)'!AO13+'Financial Model (84 Months)'!AO14*'[8]Cracker Yields'!$J$11+'[8]Cracker Yields'!$K$11*'Financial Model (84 Months)'!AO15</f>
        <v>2614.6976399999999</v>
      </c>
      <c r="AP22" s="706">
        <f>AP12*'[8]Cracker Yields'!$H$11+'[8]Cracker Yields'!$I$11*'Financial Model (84 Months)'!AP13+'Financial Model (84 Months)'!AP14*'[8]Cracker Yields'!$J$11+'[8]Cracker Yields'!$K$11*'Financial Model (84 Months)'!AP15</f>
        <v>2614.6976399999999</v>
      </c>
      <c r="AQ22" s="705">
        <f>AQ12*'[8]Cracker Yields'!$H$11+'[8]Cracker Yields'!$I$11*'Financial Model (84 Months)'!AQ13+'Financial Model (84 Months)'!AQ14*'[8]Cracker Yields'!$J$11+'[8]Cracker Yields'!$K$11*'Financial Model (84 Months)'!AQ15</f>
        <v>2614.6976399999999</v>
      </c>
      <c r="AR22" s="706">
        <f>AR12*'[8]Cracker Yields'!$H$11+'[8]Cracker Yields'!$I$11*'Financial Model (84 Months)'!AR13+'Financial Model (84 Months)'!AR14*'[8]Cracker Yields'!$J$11+'[8]Cracker Yields'!$K$11*'Financial Model (84 Months)'!AR15</f>
        <v>2614.6976399999999</v>
      </c>
      <c r="AS22" s="705">
        <f>AS12*'[8]Cracker Yields'!$H$11+'[8]Cracker Yields'!$I$11*'Financial Model (84 Months)'!AS13+'Financial Model (84 Months)'!AS14*'[8]Cracker Yields'!$J$11+'[8]Cracker Yields'!$K$11*'Financial Model (84 Months)'!AS15</f>
        <v>2614.6976399999999</v>
      </c>
      <c r="AT22" s="706">
        <f>AT12*'[8]Cracker Yields'!$H$11+'[8]Cracker Yields'!$I$11*'Financial Model (84 Months)'!AT13+'Financial Model (84 Months)'!AT14*'[8]Cracker Yields'!$J$11+'[8]Cracker Yields'!$K$11*'Financial Model (84 Months)'!AT15</f>
        <v>2614.6976399999999</v>
      </c>
      <c r="AU22" s="705">
        <f>AU12*'[8]Cracker Yields'!$H$11+'[8]Cracker Yields'!$I$11*'Financial Model (84 Months)'!AU13+'Financial Model (84 Months)'!AU14*'[8]Cracker Yields'!$J$11+'[8]Cracker Yields'!$K$11*'Financial Model (84 Months)'!AU15</f>
        <v>2614.6976399999999</v>
      </c>
      <c r="AV22" s="705">
        <f>AV12*'[8]Cracker Yields'!$H$11+'[8]Cracker Yields'!$I$11*'Financial Model (84 Months)'!AV13+'Financial Model (84 Months)'!AV14*'[8]Cracker Yields'!$J$11+'[8]Cracker Yields'!$K$11*'Financial Model (84 Months)'!AV15</f>
        <v>2614.6976399999999</v>
      </c>
      <c r="AW22" s="705">
        <f>AW12*'[8]Cracker Yields'!$H$11+'[8]Cracker Yields'!$I$11*'Financial Model (84 Months)'!AW13+'Financial Model (84 Months)'!AW14*'[8]Cracker Yields'!$J$11+'[8]Cracker Yields'!$K$11*'Financial Model (84 Months)'!AW15</f>
        <v>2614.6976399999999</v>
      </c>
      <c r="AX22" s="705">
        <f>AX12*'[8]Cracker Yields'!$H$11+'[8]Cracker Yields'!$I$11*'Financial Model (84 Months)'!AX13+'Financial Model (84 Months)'!AX14*'[8]Cracker Yields'!$J$11+'[8]Cracker Yields'!$K$11*'Financial Model (84 Months)'!AX15</f>
        <v>2614.6976399999999</v>
      </c>
      <c r="AY22" s="705">
        <f>AY12*'[8]Cracker Yields'!$H$11+'[8]Cracker Yields'!$I$11*'Financial Model (84 Months)'!AY13+'Financial Model (84 Months)'!AY14*'[8]Cracker Yields'!$J$11+'[8]Cracker Yields'!$K$11*'Financial Model (84 Months)'!AY15</f>
        <v>2614.6976399999999</v>
      </c>
      <c r="AZ22" s="705">
        <f>AZ12*'[8]Cracker Yields'!$H$11+'[8]Cracker Yields'!$I$11*'Financial Model (84 Months)'!AZ13+'Financial Model (84 Months)'!AZ14*'[8]Cracker Yields'!$J$11+'[8]Cracker Yields'!$K$11*'Financial Model (84 Months)'!AZ15</f>
        <v>2614.6976399999999</v>
      </c>
      <c r="BA22" s="705">
        <f>BA12*'[8]Cracker Yields'!$H$11+'[8]Cracker Yields'!$I$11*'Financial Model (84 Months)'!BA13+'Financial Model (84 Months)'!BA14*'[8]Cracker Yields'!$J$11+'[8]Cracker Yields'!$K$11*'Financial Model (84 Months)'!BA15</f>
        <v>2614.6976399999999</v>
      </c>
      <c r="BB22" s="705">
        <f>BB12*'[8]Cracker Yields'!$H$11+'[8]Cracker Yields'!$I$11*'Financial Model (84 Months)'!BB13+'Financial Model (84 Months)'!BB14*'[8]Cracker Yields'!$J$11+'[8]Cracker Yields'!$K$11*'Financial Model (84 Months)'!BB15</f>
        <v>2614.6976399999999</v>
      </c>
      <c r="BC22" s="705">
        <f>BC12*'[8]Cracker Yields'!$H$11+'[8]Cracker Yields'!$I$11*'Financial Model (84 Months)'!BC13+'Financial Model (84 Months)'!BC14*'[8]Cracker Yields'!$J$11+'[8]Cracker Yields'!$K$11*'Financial Model (84 Months)'!BC15</f>
        <v>2614.6976399999999</v>
      </c>
      <c r="BD22" s="705">
        <f>BD12*'[8]Cracker Yields'!$H$11+'[8]Cracker Yields'!$I$11*'Financial Model (84 Months)'!BD13+'Financial Model (84 Months)'!BD14*'[8]Cracker Yields'!$J$11+'[8]Cracker Yields'!$K$11*'Financial Model (84 Months)'!BD15</f>
        <v>2614.6976399999999</v>
      </c>
      <c r="BE22" s="705">
        <f>BE12*'[8]Cracker Yields'!$H$11+'[8]Cracker Yields'!$I$11*'Financial Model (84 Months)'!BE13+'Financial Model (84 Months)'!BE14*'[8]Cracker Yields'!$J$11+'[8]Cracker Yields'!$K$11*'Financial Model (84 Months)'!BE15</f>
        <v>2614.6976399999999</v>
      </c>
      <c r="BF22" s="705">
        <f>BF12*'[8]Cracker Yields'!$H$11+'[8]Cracker Yields'!$I$11*'Financial Model (84 Months)'!BF13+'Financial Model (84 Months)'!BF14*'[8]Cracker Yields'!$J$11+'[8]Cracker Yields'!$K$11*'Financial Model (84 Months)'!BF15</f>
        <v>2614.6976399999999</v>
      </c>
      <c r="BG22" s="705">
        <f>BG12*'[8]Cracker Yields'!$H$11+'[8]Cracker Yields'!$I$11*'Financial Model (84 Months)'!BG13+'Financial Model (84 Months)'!BG14*'[8]Cracker Yields'!$J$11+'[8]Cracker Yields'!$K$11*'Financial Model (84 Months)'!BG15</f>
        <v>2614.6976399999999</v>
      </c>
      <c r="BH22" s="705">
        <f>BH12*'[8]Cracker Yields'!$H$11+'[8]Cracker Yields'!$I$11*'Financial Model (84 Months)'!BH13+'Financial Model (84 Months)'!BH14*'[8]Cracker Yields'!$J$11+'[8]Cracker Yields'!$K$11*'Financial Model (84 Months)'!BH15</f>
        <v>2614.6976399999999</v>
      </c>
      <c r="BI22" s="705">
        <f>BI12*'[8]Cracker Yields'!$H$11+'[8]Cracker Yields'!$I$11*'Financial Model (84 Months)'!BI13+'Financial Model (84 Months)'!BI14*'[8]Cracker Yields'!$J$11+'[8]Cracker Yields'!$K$11*'Financial Model (84 Months)'!BI15</f>
        <v>2614.6976399999999</v>
      </c>
      <c r="BJ22" s="705">
        <f>BJ12*'[8]Cracker Yields'!$H$11+'[8]Cracker Yields'!$I$11*'Financial Model (84 Months)'!BJ13+'Financial Model (84 Months)'!BJ14*'[8]Cracker Yields'!$J$11+'[8]Cracker Yields'!$K$11*'Financial Model (84 Months)'!BJ15</f>
        <v>2614.6976399999999</v>
      </c>
      <c r="BK22" s="705">
        <f>BK12*'[8]Cracker Yields'!$H$11+'[8]Cracker Yields'!$I$11*'Financial Model (84 Months)'!BK13+'Financial Model (84 Months)'!BK14*'[8]Cracker Yields'!$J$11+'[8]Cracker Yields'!$K$11*'Financial Model (84 Months)'!BK15</f>
        <v>2614.6976399999999</v>
      </c>
      <c r="BL22" s="705">
        <f>BL12*'[8]Cracker Yields'!$H$11+'[8]Cracker Yields'!$I$11*'Financial Model (84 Months)'!BL13+'Financial Model (84 Months)'!BL14*'[8]Cracker Yields'!$J$11+'[8]Cracker Yields'!$K$11*'Financial Model (84 Months)'!BL15</f>
        <v>2614.6976399999999</v>
      </c>
      <c r="BM22" s="705">
        <f>BM12*'[8]Cracker Yields'!$H$11+'[8]Cracker Yields'!$I$11*'Financial Model (84 Months)'!BM13+'Financial Model (84 Months)'!BM14*'[8]Cracker Yields'!$J$11+'[8]Cracker Yields'!$K$11*'Financial Model (84 Months)'!BM15</f>
        <v>2614.6976399999999</v>
      </c>
      <c r="BN22" s="705">
        <f>BN12*'[8]Cracker Yields'!$H$11+'[8]Cracker Yields'!$I$11*'Financial Model (84 Months)'!BN13+'Financial Model (84 Months)'!BN14*'[8]Cracker Yields'!$J$11+'[8]Cracker Yields'!$K$11*'Financial Model (84 Months)'!BN15</f>
        <v>2614.6976399999999</v>
      </c>
      <c r="BO22" s="705">
        <f>BO12*'[8]Cracker Yields'!$H$11+'[8]Cracker Yields'!$I$11*'Financial Model (84 Months)'!BO13+'Financial Model (84 Months)'!BO14*'[8]Cracker Yields'!$J$11+'[8]Cracker Yields'!$K$11*'Financial Model (84 Months)'!BO15</f>
        <v>2614.6976399999999</v>
      </c>
      <c r="BP22" s="705">
        <f>BP12*'[8]Cracker Yields'!$H$11+'[8]Cracker Yields'!$I$11*'Financial Model (84 Months)'!BP13+'Financial Model (84 Months)'!BP14*'[8]Cracker Yields'!$J$11+'[8]Cracker Yields'!$K$11*'Financial Model (84 Months)'!BP15</f>
        <v>2614.6976399999999</v>
      </c>
      <c r="BQ22" s="705">
        <f>BQ12*'[8]Cracker Yields'!$H$11+'[8]Cracker Yields'!$I$11*'Financial Model (84 Months)'!BQ13+'Financial Model (84 Months)'!BQ14*'[8]Cracker Yields'!$J$11+'[8]Cracker Yields'!$K$11*'Financial Model (84 Months)'!BQ15</f>
        <v>2614.6976399999999</v>
      </c>
      <c r="BR22" s="705">
        <f>BR12*'[8]Cracker Yields'!$H$11+'[8]Cracker Yields'!$I$11*'Financial Model (84 Months)'!BR13+'Financial Model (84 Months)'!BR14*'[8]Cracker Yields'!$J$11+'[8]Cracker Yields'!$K$11*'Financial Model (84 Months)'!BR15</f>
        <v>2614.6976399999999</v>
      </c>
      <c r="BS22" s="705">
        <f>BS12*'[8]Cracker Yields'!$H$11+'[8]Cracker Yields'!$I$11*'Financial Model (84 Months)'!BS13+'Financial Model (84 Months)'!BS14*'[8]Cracker Yields'!$J$11+'[8]Cracker Yields'!$K$11*'Financial Model (84 Months)'!BS15</f>
        <v>2614.6976399999999</v>
      </c>
      <c r="BT22" s="705">
        <f>BT12*'[8]Cracker Yields'!$H$11+'[8]Cracker Yields'!$I$11*'Financial Model (84 Months)'!BT13+'Financial Model (84 Months)'!BT14*'[8]Cracker Yields'!$J$11+'[8]Cracker Yields'!$K$11*'Financial Model (84 Months)'!BT15</f>
        <v>2614.6976399999999</v>
      </c>
      <c r="BU22" s="705">
        <f>BU12*'[8]Cracker Yields'!$H$11+'[8]Cracker Yields'!$I$11*'Financial Model (84 Months)'!BU13+'Financial Model (84 Months)'!BU14*'[8]Cracker Yields'!$J$11+'[8]Cracker Yields'!$K$11*'Financial Model (84 Months)'!BU15</f>
        <v>2614.6976399999999</v>
      </c>
      <c r="BV22" s="705">
        <f>BV12*'[8]Cracker Yields'!$H$11+'[8]Cracker Yields'!$I$11*'Financial Model (84 Months)'!BV13+'Financial Model (84 Months)'!BV14*'[8]Cracker Yields'!$J$11+'[8]Cracker Yields'!$K$11*'Financial Model (84 Months)'!BV15</f>
        <v>2614.6976399999999</v>
      </c>
      <c r="BW22" s="705">
        <f>BW12*'[8]Cracker Yields'!$H$11+'[8]Cracker Yields'!$I$11*'Financial Model (84 Months)'!BW13+'Financial Model (84 Months)'!BW14*'[8]Cracker Yields'!$J$11+'[8]Cracker Yields'!$K$11*'Financial Model (84 Months)'!BW15</f>
        <v>2614.6976399999999</v>
      </c>
      <c r="BX22" s="705">
        <f>BX12*'[8]Cracker Yields'!$H$11+'[8]Cracker Yields'!$I$11*'Financial Model (84 Months)'!BX13+'Financial Model (84 Months)'!BX14*'[8]Cracker Yields'!$J$11+'[8]Cracker Yields'!$K$11*'Financial Model (84 Months)'!BX15</f>
        <v>2614.6976399999999</v>
      </c>
      <c r="BY22" s="705">
        <f>BY12*'[8]Cracker Yields'!$H$11+'[8]Cracker Yields'!$I$11*'Financial Model (84 Months)'!BY13+'Financial Model (84 Months)'!BY14*'[8]Cracker Yields'!$J$11+'[8]Cracker Yields'!$K$11*'Financial Model (84 Months)'!BY15</f>
        <v>2614.6976399999999</v>
      </c>
      <c r="BZ22" s="705">
        <f>BZ12*'[8]Cracker Yields'!$H$11+'[8]Cracker Yields'!$I$11*'Financial Model (84 Months)'!BZ13+'Financial Model (84 Months)'!BZ14*'[8]Cracker Yields'!$J$11+'[8]Cracker Yields'!$K$11*'Financial Model (84 Months)'!BZ15</f>
        <v>2614.6976399999999</v>
      </c>
      <c r="CA22" s="705">
        <f>CA12*'[8]Cracker Yields'!$H$11+'[8]Cracker Yields'!$I$11*'Financial Model (84 Months)'!CA13+'Financial Model (84 Months)'!CA14*'[8]Cracker Yields'!$J$11+'[8]Cracker Yields'!$K$11*'Financial Model (84 Months)'!CA15</f>
        <v>2614.6976399999999</v>
      </c>
      <c r="CB22" s="705">
        <f>CB12*'[8]Cracker Yields'!$H$11+'[8]Cracker Yields'!$I$11*'Financial Model (84 Months)'!CB13+'Financial Model (84 Months)'!CB14*'[8]Cracker Yields'!$J$11+'[8]Cracker Yields'!$K$11*'Financial Model (84 Months)'!CB15</f>
        <v>2614.6976399999999</v>
      </c>
      <c r="CC22" s="705">
        <f>CC12*'[8]Cracker Yields'!$H$11+'[8]Cracker Yields'!$I$11*'Financial Model (84 Months)'!CC13+'Financial Model (84 Months)'!CC14*'[8]Cracker Yields'!$J$11+'[8]Cracker Yields'!$K$11*'Financial Model (84 Months)'!CC15</f>
        <v>2614.6976399999999</v>
      </c>
      <c r="CD22" s="705">
        <f>CD12*'[8]Cracker Yields'!$H$11+'[8]Cracker Yields'!$I$11*'Financial Model (84 Months)'!CD13+'Financial Model (84 Months)'!CD14*'[8]Cracker Yields'!$J$11+'[8]Cracker Yields'!$K$11*'Financial Model (84 Months)'!CD15</f>
        <v>2614.6976399999999</v>
      </c>
      <c r="CE22" s="705">
        <f>CE12*'[8]Cracker Yields'!$H$11+'[8]Cracker Yields'!$I$11*'Financial Model (84 Months)'!CE13+'Financial Model (84 Months)'!CE14*'[8]Cracker Yields'!$J$11+'[8]Cracker Yields'!$K$11*'Financial Model (84 Months)'!CE15</f>
        <v>2614.6976399999999</v>
      </c>
      <c r="CF22" s="705">
        <f>CF12*'[8]Cracker Yields'!$H$11+'[8]Cracker Yields'!$I$11*'Financial Model (84 Months)'!CF13+'Financial Model (84 Months)'!CF14*'[8]Cracker Yields'!$J$11+'[8]Cracker Yields'!$K$11*'Financial Model (84 Months)'!CF15</f>
        <v>2614.6976399999999</v>
      </c>
      <c r="CG22" s="705">
        <f>CG12*'[8]Cracker Yields'!$H$11+'[8]Cracker Yields'!$I$11*'Financial Model (84 Months)'!CG13+'Financial Model (84 Months)'!CG14*'[8]Cracker Yields'!$J$11+'[8]Cracker Yields'!$K$11*'Financial Model (84 Months)'!CG15</f>
        <v>2614.6976399999999</v>
      </c>
      <c r="CH22" s="705">
        <f>CH12*'[8]Cracker Yields'!$H$11+'[8]Cracker Yields'!$I$11*'Financial Model (84 Months)'!CH13+'Financial Model (84 Months)'!CH14*'[8]Cracker Yields'!$J$11+'[8]Cracker Yields'!$K$11*'Financial Model (84 Months)'!CH15</f>
        <v>2614.6976399999999</v>
      </c>
      <c r="CI22" s="705">
        <f>CI12*'[8]Cracker Yields'!$H$11+'[8]Cracker Yields'!$I$11*'Financial Model (84 Months)'!CI13+'Financial Model (84 Months)'!CI14*'[8]Cracker Yields'!$J$11+'[8]Cracker Yields'!$K$11*'Financial Model (84 Months)'!CI15</f>
        <v>2614.6976399999999</v>
      </c>
      <c r="CJ22" s="705">
        <f>CJ12*'[8]Cracker Yields'!$H$11+'[8]Cracker Yields'!$I$11*'Financial Model (84 Months)'!CJ13+'Financial Model (84 Months)'!CJ14*'[8]Cracker Yields'!$J$11+'[8]Cracker Yields'!$K$11*'Financial Model (84 Months)'!CJ15</f>
        <v>2614.6976399999999</v>
      </c>
      <c r="CK22" s="705">
        <f>CK12*'[8]Cracker Yields'!$H$11+'[8]Cracker Yields'!$I$11*'Financial Model (84 Months)'!CK13+'Financial Model (84 Months)'!CK14*'[8]Cracker Yields'!$J$11+'[8]Cracker Yields'!$K$11*'Financial Model (84 Months)'!CK15</f>
        <v>2614.6976399999999</v>
      </c>
      <c r="CL22" s="707">
        <f>CL12*'[8]Cracker Yields'!$H$11+'[8]Cracker Yields'!$I$11*'Financial Model (84 Months)'!CL13+'Financial Model (84 Months)'!CL14*'[8]Cracker Yields'!$J$11+'[8]Cracker Yields'!$K$11*'Financial Model (84 Months)'!CL15</f>
        <v>2614.6976399999999</v>
      </c>
      <c r="CM22" s="642">
        <f t="shared" si="0"/>
        <v>2614.697639999999</v>
      </c>
      <c r="CN22" s="245"/>
      <c r="CO22" s="245"/>
      <c r="CP22" s="245"/>
      <c r="CQ22" s="245"/>
      <c r="CR22" s="245"/>
      <c r="CS22" s="245"/>
      <c r="CT22" s="245"/>
      <c r="CU22" s="245"/>
      <c r="CV22" s="245"/>
      <c r="CW22" s="245"/>
      <c r="CX22" s="245"/>
      <c r="CY22" s="245"/>
      <c r="CZ22" s="245"/>
      <c r="DA22" s="245"/>
      <c r="DB22" s="245"/>
      <c r="DC22" s="245"/>
      <c r="DD22" s="245"/>
      <c r="DE22" s="245"/>
      <c r="DF22" s="245"/>
      <c r="DG22" s="245"/>
      <c r="DH22" s="245"/>
      <c r="DI22" s="245"/>
      <c r="DJ22" s="245"/>
      <c r="DK22" s="245"/>
      <c r="DL22" s="245"/>
      <c r="DM22" s="245"/>
      <c r="DN22" s="245"/>
      <c r="DO22" s="245"/>
      <c r="DP22" s="245"/>
      <c r="DQ22" s="245"/>
      <c r="DR22" s="245"/>
      <c r="DS22" s="245"/>
      <c r="DT22" s="245"/>
      <c r="DU22" s="245"/>
      <c r="DV22" s="245"/>
      <c r="DW22" s="245"/>
      <c r="DX22" s="245"/>
      <c r="DY22" s="245"/>
      <c r="DZ22" s="245"/>
      <c r="EA22" s="245"/>
      <c r="EB22" s="245"/>
      <c r="EC22" s="245"/>
      <c r="ED22" s="245"/>
      <c r="EE22" s="245"/>
      <c r="EF22" s="245"/>
      <c r="EG22" s="245"/>
      <c r="EH22" s="245"/>
      <c r="EI22" s="245"/>
      <c r="EJ22" s="245"/>
      <c r="EK22" s="245"/>
      <c r="EL22" s="245"/>
      <c r="EM22" s="245"/>
      <c r="EN22" s="245"/>
      <c r="EO22" s="245"/>
      <c r="EP22" s="245"/>
      <c r="EQ22" s="245"/>
      <c r="ER22" s="245"/>
      <c r="ES22" s="245"/>
      <c r="ET22" s="245"/>
      <c r="EU22" s="245"/>
      <c r="EV22" s="245"/>
      <c r="EW22" s="245"/>
      <c r="EX22" s="245"/>
      <c r="EY22" s="245"/>
      <c r="EZ22" s="245"/>
      <c r="FA22" s="245"/>
      <c r="FB22" s="245"/>
      <c r="FC22" s="245"/>
      <c r="FD22" s="245"/>
      <c r="FE22" s="245"/>
      <c r="FF22" s="245"/>
      <c r="FG22" s="245"/>
      <c r="FH22" s="245"/>
      <c r="FI22" s="245"/>
      <c r="FJ22" s="245"/>
      <c r="FK22" s="245"/>
      <c r="FL22" s="245"/>
      <c r="FM22" s="245"/>
      <c r="FN22" s="245"/>
      <c r="FO22" s="245"/>
      <c r="FP22" s="245"/>
      <c r="FQ22" s="245"/>
      <c r="FR22" s="245"/>
      <c r="FS22" s="245"/>
      <c r="FT22" s="245"/>
      <c r="FU22" s="245"/>
      <c r="FV22" s="245"/>
    </row>
    <row r="23" spans="1:178">
      <c r="A23" s="1024" t="s">
        <v>317</v>
      </c>
      <c r="B23" s="632" t="s">
        <v>312</v>
      </c>
      <c r="C23" s="633" t="s">
        <v>313</v>
      </c>
      <c r="D23" s="633">
        <v>27.86</v>
      </c>
      <c r="E23" s="634"/>
      <c r="F23" s="657" t="s">
        <v>170</v>
      </c>
      <c r="G23" s="708">
        <f>$D$23*G16/1000</f>
        <v>3083.7955400000001</v>
      </c>
      <c r="H23" s="709">
        <f>$D$23*H16/1000</f>
        <v>3083.7955400000001</v>
      </c>
      <c r="I23" s="708">
        <f>$D$23*I16/1000</f>
        <v>3083.7955400000001</v>
      </c>
      <c r="J23" s="708">
        <v>3083.7955400000001</v>
      </c>
      <c r="K23" s="708">
        <v>3083.7955400000001</v>
      </c>
      <c r="L23" s="708">
        <v>3083.7955400000001</v>
      </c>
      <c r="M23" s="708">
        <v>3083.7955400000001</v>
      </c>
      <c r="N23" s="708">
        <v>3083.7955400000001</v>
      </c>
      <c r="O23" s="708">
        <v>3083.7955400000001</v>
      </c>
      <c r="P23" s="708">
        <v>3083.7955400000001</v>
      </c>
      <c r="Q23" s="708">
        <v>3083.7955400000001</v>
      </c>
      <c r="R23" s="708">
        <v>3083.7955400000001</v>
      </c>
      <c r="S23" s="708">
        <v>3083.7955400000001</v>
      </c>
      <c r="T23" s="709">
        <f t="shared" ref="T23:AS23" si="1">$D$23*T16/1000</f>
        <v>3083.7955400000001</v>
      </c>
      <c r="U23" s="708">
        <f t="shared" si="1"/>
        <v>3083.7955400000001</v>
      </c>
      <c r="V23" s="709">
        <f t="shared" si="1"/>
        <v>3083.7955400000001</v>
      </c>
      <c r="W23" s="708">
        <f t="shared" si="1"/>
        <v>3083.7955400000001</v>
      </c>
      <c r="X23" s="709">
        <f t="shared" si="1"/>
        <v>3083.7955400000001</v>
      </c>
      <c r="Y23" s="708">
        <f t="shared" si="1"/>
        <v>3083.7955400000001</v>
      </c>
      <c r="Z23" s="709">
        <f t="shared" si="1"/>
        <v>3083.7955400000001</v>
      </c>
      <c r="AA23" s="708">
        <f t="shared" si="1"/>
        <v>3083.7955400000001</v>
      </c>
      <c r="AB23" s="709">
        <f t="shared" si="1"/>
        <v>3083.7955400000001</v>
      </c>
      <c r="AC23" s="708">
        <f t="shared" si="1"/>
        <v>3083.7955400000001</v>
      </c>
      <c r="AD23" s="709">
        <f t="shared" si="1"/>
        <v>3083.7955400000001</v>
      </c>
      <c r="AE23" s="708">
        <f t="shared" si="1"/>
        <v>3083.7955400000001</v>
      </c>
      <c r="AF23" s="709">
        <f t="shared" si="1"/>
        <v>3083.7955400000001</v>
      </c>
      <c r="AG23" s="708">
        <f t="shared" si="1"/>
        <v>3083.7955400000001</v>
      </c>
      <c r="AH23" s="709">
        <f t="shared" si="1"/>
        <v>3083.7955400000001</v>
      </c>
      <c r="AI23" s="708">
        <f t="shared" si="1"/>
        <v>3083.7955400000001</v>
      </c>
      <c r="AJ23" s="709">
        <f t="shared" si="1"/>
        <v>3083.7955400000001</v>
      </c>
      <c r="AK23" s="708">
        <f t="shared" si="1"/>
        <v>3083.7955400000001</v>
      </c>
      <c r="AL23" s="709">
        <f t="shared" si="1"/>
        <v>3083.7955400000001</v>
      </c>
      <c r="AM23" s="708">
        <f t="shared" si="1"/>
        <v>3083.7955400000001</v>
      </c>
      <c r="AN23" s="709">
        <f t="shared" si="1"/>
        <v>3083.7955400000001</v>
      </c>
      <c r="AO23" s="708">
        <f t="shared" si="1"/>
        <v>3083.7955400000001</v>
      </c>
      <c r="AP23" s="709">
        <f t="shared" si="1"/>
        <v>3083.7955400000001</v>
      </c>
      <c r="AQ23" s="708">
        <f t="shared" si="1"/>
        <v>3083.7955400000001</v>
      </c>
      <c r="AR23" s="709">
        <f t="shared" si="1"/>
        <v>3083.7955400000001</v>
      </c>
      <c r="AS23" s="708">
        <f t="shared" si="1"/>
        <v>3083.7955400000001</v>
      </c>
      <c r="AT23" s="709">
        <f>$D$23*AT16/1000</f>
        <v>3083.7955400000001</v>
      </c>
      <c r="AU23" s="708">
        <f t="shared" ref="AU23:CL23" si="2">$D$23*AU16/1000</f>
        <v>3083.7955400000001</v>
      </c>
      <c r="AV23" s="708">
        <f t="shared" si="2"/>
        <v>3083.7955400000001</v>
      </c>
      <c r="AW23" s="708">
        <f t="shared" si="2"/>
        <v>3083.7955400000001</v>
      </c>
      <c r="AX23" s="708">
        <f t="shared" si="2"/>
        <v>3083.7955400000001</v>
      </c>
      <c r="AY23" s="708">
        <f t="shared" si="2"/>
        <v>3083.7955400000001</v>
      </c>
      <c r="AZ23" s="708">
        <f t="shared" si="2"/>
        <v>3083.7955400000001</v>
      </c>
      <c r="BA23" s="708">
        <f t="shared" si="2"/>
        <v>3083.7955400000001</v>
      </c>
      <c r="BB23" s="708">
        <f t="shared" si="2"/>
        <v>3083.7955400000001</v>
      </c>
      <c r="BC23" s="708">
        <f t="shared" si="2"/>
        <v>3083.7955400000001</v>
      </c>
      <c r="BD23" s="708">
        <f t="shared" si="2"/>
        <v>3083.7955400000001</v>
      </c>
      <c r="BE23" s="708">
        <f t="shared" si="2"/>
        <v>3083.7955400000001</v>
      </c>
      <c r="BF23" s="708">
        <f t="shared" si="2"/>
        <v>3083.7955400000001</v>
      </c>
      <c r="BG23" s="708">
        <f t="shared" si="2"/>
        <v>3083.7955400000001</v>
      </c>
      <c r="BH23" s="708">
        <f t="shared" si="2"/>
        <v>3083.7955400000001</v>
      </c>
      <c r="BI23" s="708">
        <f t="shared" si="2"/>
        <v>3083.7955400000001</v>
      </c>
      <c r="BJ23" s="708">
        <f t="shared" si="2"/>
        <v>3083.7955400000001</v>
      </c>
      <c r="BK23" s="708">
        <f t="shared" si="2"/>
        <v>3083.7955400000001</v>
      </c>
      <c r="BL23" s="708">
        <f t="shared" si="2"/>
        <v>3083.7955400000001</v>
      </c>
      <c r="BM23" s="708">
        <f t="shared" si="2"/>
        <v>3083.7955400000001</v>
      </c>
      <c r="BN23" s="708">
        <f t="shared" si="2"/>
        <v>3083.7955400000001</v>
      </c>
      <c r="BO23" s="708">
        <f t="shared" si="2"/>
        <v>3083.7955400000001</v>
      </c>
      <c r="BP23" s="708">
        <f t="shared" si="2"/>
        <v>3083.7955400000001</v>
      </c>
      <c r="BQ23" s="708">
        <f t="shared" si="2"/>
        <v>3083.7955400000001</v>
      </c>
      <c r="BR23" s="708">
        <f t="shared" si="2"/>
        <v>3083.7955400000001</v>
      </c>
      <c r="BS23" s="708">
        <f t="shared" si="2"/>
        <v>3083.7955400000001</v>
      </c>
      <c r="BT23" s="708">
        <f t="shared" si="2"/>
        <v>3083.7955400000001</v>
      </c>
      <c r="BU23" s="708">
        <f t="shared" si="2"/>
        <v>3083.7955400000001</v>
      </c>
      <c r="BV23" s="708">
        <f t="shared" si="2"/>
        <v>3083.7955400000001</v>
      </c>
      <c r="BW23" s="708">
        <f t="shared" si="2"/>
        <v>3083.7955400000001</v>
      </c>
      <c r="BX23" s="708">
        <f t="shared" si="2"/>
        <v>3083.7955400000001</v>
      </c>
      <c r="BY23" s="708">
        <f t="shared" si="2"/>
        <v>3083.7955400000001</v>
      </c>
      <c r="BZ23" s="708">
        <f t="shared" si="2"/>
        <v>3083.7955400000001</v>
      </c>
      <c r="CA23" s="708">
        <f t="shared" si="2"/>
        <v>3083.7955400000001</v>
      </c>
      <c r="CB23" s="708">
        <f t="shared" si="2"/>
        <v>3083.7955400000001</v>
      </c>
      <c r="CC23" s="708">
        <f t="shared" si="2"/>
        <v>3083.7955400000001</v>
      </c>
      <c r="CD23" s="708">
        <f t="shared" si="2"/>
        <v>3083.7955400000001</v>
      </c>
      <c r="CE23" s="708">
        <f t="shared" si="2"/>
        <v>3083.7955400000001</v>
      </c>
      <c r="CF23" s="708">
        <f t="shared" si="2"/>
        <v>3083.7955400000001</v>
      </c>
      <c r="CG23" s="708">
        <f t="shared" si="2"/>
        <v>3083.7955400000001</v>
      </c>
      <c r="CH23" s="708">
        <f t="shared" si="2"/>
        <v>3083.7955400000001</v>
      </c>
      <c r="CI23" s="708">
        <f t="shared" si="2"/>
        <v>3083.7955400000001</v>
      </c>
      <c r="CJ23" s="708">
        <f t="shared" si="2"/>
        <v>3083.7955400000001</v>
      </c>
      <c r="CK23" s="708">
        <f t="shared" si="2"/>
        <v>3083.7955400000001</v>
      </c>
      <c r="CL23" s="710">
        <f t="shared" si="2"/>
        <v>3083.7955400000001</v>
      </c>
      <c r="CM23" s="636">
        <f t="shared" si="0"/>
        <v>3083.7955399999973</v>
      </c>
      <c r="CN23" s="245"/>
      <c r="CO23" s="245"/>
      <c r="CP23" s="245"/>
      <c r="CQ23" s="245"/>
      <c r="CR23" s="245"/>
      <c r="CS23" s="245"/>
      <c r="CT23" s="245"/>
      <c r="CU23" s="245"/>
      <c r="CV23" s="245"/>
      <c r="CW23" s="245"/>
      <c r="CX23" s="245"/>
      <c r="CY23" s="245"/>
      <c r="CZ23" s="245"/>
      <c r="DA23" s="245"/>
      <c r="DB23" s="245"/>
      <c r="DC23" s="245"/>
      <c r="DD23" s="245"/>
      <c r="DE23" s="245"/>
      <c r="DF23" s="245"/>
      <c r="DG23" s="245"/>
      <c r="DH23" s="245"/>
      <c r="DI23" s="245"/>
      <c r="DJ23" s="245"/>
      <c r="DK23" s="245"/>
      <c r="DL23" s="245"/>
      <c r="DM23" s="245"/>
      <c r="DN23" s="245"/>
      <c r="DO23" s="245"/>
      <c r="DP23" s="245"/>
      <c r="DQ23" s="245"/>
      <c r="DR23" s="245"/>
      <c r="DS23" s="245"/>
      <c r="DT23" s="245"/>
      <c r="DU23" s="245"/>
      <c r="DV23" s="245"/>
      <c r="DW23" s="245"/>
      <c r="DX23" s="245"/>
      <c r="DY23" s="245"/>
      <c r="DZ23" s="245"/>
      <c r="EA23" s="245"/>
      <c r="EB23" s="245"/>
      <c r="EC23" s="245"/>
      <c r="ED23" s="245"/>
      <c r="EE23" s="245"/>
      <c r="EF23" s="245"/>
      <c r="EG23" s="245"/>
      <c r="EH23" s="245"/>
      <c r="EI23" s="245"/>
      <c r="EJ23" s="245"/>
      <c r="EK23" s="245"/>
      <c r="EL23" s="245"/>
      <c r="EM23" s="245"/>
      <c r="EN23" s="245"/>
      <c r="EO23" s="245"/>
      <c r="EP23" s="245"/>
      <c r="EQ23" s="245"/>
      <c r="ER23" s="245"/>
      <c r="ES23" s="245"/>
      <c r="ET23" s="245"/>
      <c r="EU23" s="245"/>
      <c r="EV23" s="245"/>
      <c r="EW23" s="245"/>
      <c r="EX23" s="245"/>
      <c r="EY23" s="245"/>
      <c r="EZ23" s="245"/>
      <c r="FA23" s="245"/>
      <c r="FB23" s="245"/>
      <c r="FC23" s="245"/>
      <c r="FD23" s="245"/>
      <c r="FE23" s="245"/>
      <c r="FF23" s="245"/>
      <c r="FG23" s="245"/>
      <c r="FH23" s="245"/>
      <c r="FI23" s="245"/>
      <c r="FJ23" s="245"/>
      <c r="FK23" s="245"/>
      <c r="FL23" s="245"/>
      <c r="FM23" s="245"/>
      <c r="FN23" s="245"/>
      <c r="FO23" s="245"/>
      <c r="FP23" s="245"/>
      <c r="FQ23" s="245"/>
      <c r="FR23" s="245"/>
      <c r="FS23" s="245"/>
      <c r="FT23" s="245"/>
      <c r="FU23" s="245"/>
      <c r="FV23" s="245"/>
    </row>
    <row r="24" spans="1:178">
      <c r="A24" s="1025"/>
      <c r="B24" s="639" t="s">
        <v>312</v>
      </c>
      <c r="C24" s="640" t="s">
        <v>313</v>
      </c>
      <c r="D24" s="640">
        <v>0.23</v>
      </c>
      <c r="E24" s="245"/>
      <c r="F24" s="665" t="s">
        <v>171</v>
      </c>
      <c r="G24" s="711">
        <v>13359.166666666668</v>
      </c>
      <c r="H24" s="711">
        <v>13359.166666666668</v>
      </c>
      <c r="I24" s="711">
        <v>13359.166666666668</v>
      </c>
      <c r="J24" s="711">
        <v>13359.166666666668</v>
      </c>
      <c r="K24" s="711">
        <v>13359.166666666668</v>
      </c>
      <c r="L24" s="711">
        <v>13359.166666666668</v>
      </c>
      <c r="M24" s="711">
        <v>13359.166666666668</v>
      </c>
      <c r="N24" s="711">
        <v>13359.166666666668</v>
      </c>
      <c r="O24" s="711">
        <v>13359.166666666668</v>
      </c>
      <c r="P24" s="711">
        <v>13359.166666666668</v>
      </c>
      <c r="Q24" s="711">
        <v>13359.166666666668</v>
      </c>
      <c r="R24" s="711">
        <v>13359.166666666668</v>
      </c>
      <c r="S24" s="711">
        <v>13359.166666666668</v>
      </c>
      <c r="T24" s="712">
        <f t="shared" ref="T24:AS24" si="3">$D$24*T13</f>
        <v>13359.166666666668</v>
      </c>
      <c r="U24" s="711">
        <f t="shared" si="3"/>
        <v>13359.166666666668</v>
      </c>
      <c r="V24" s="712">
        <f t="shared" si="3"/>
        <v>13359.166666666668</v>
      </c>
      <c r="W24" s="711">
        <f t="shared" si="3"/>
        <v>13359.166666666668</v>
      </c>
      <c r="X24" s="712">
        <f t="shared" si="3"/>
        <v>13359.166666666668</v>
      </c>
      <c r="Y24" s="711">
        <f t="shared" si="3"/>
        <v>13359.166666666668</v>
      </c>
      <c r="Z24" s="712">
        <f t="shared" si="3"/>
        <v>13359.166666666668</v>
      </c>
      <c r="AA24" s="711">
        <f t="shared" si="3"/>
        <v>13359.166666666668</v>
      </c>
      <c r="AB24" s="712">
        <f t="shared" si="3"/>
        <v>13359.166666666668</v>
      </c>
      <c r="AC24" s="711">
        <f t="shared" si="3"/>
        <v>13359.166666666668</v>
      </c>
      <c r="AD24" s="712">
        <f t="shared" si="3"/>
        <v>13359.166666666668</v>
      </c>
      <c r="AE24" s="711">
        <f t="shared" si="3"/>
        <v>13359.166666666668</v>
      </c>
      <c r="AF24" s="712">
        <f t="shared" si="3"/>
        <v>13359.166666666668</v>
      </c>
      <c r="AG24" s="711">
        <f t="shared" si="3"/>
        <v>13359.166666666668</v>
      </c>
      <c r="AH24" s="712">
        <f t="shared" si="3"/>
        <v>13359.166666666668</v>
      </c>
      <c r="AI24" s="711">
        <f t="shared" si="3"/>
        <v>13359.166666666668</v>
      </c>
      <c r="AJ24" s="712">
        <f t="shared" si="3"/>
        <v>13359.166666666668</v>
      </c>
      <c r="AK24" s="711">
        <f t="shared" si="3"/>
        <v>13359.166666666668</v>
      </c>
      <c r="AL24" s="712">
        <f t="shared" si="3"/>
        <v>13359.166666666668</v>
      </c>
      <c r="AM24" s="711">
        <f t="shared" si="3"/>
        <v>13359.166666666668</v>
      </c>
      <c r="AN24" s="712">
        <f t="shared" si="3"/>
        <v>13359.166666666668</v>
      </c>
      <c r="AO24" s="711">
        <f t="shared" si="3"/>
        <v>13359.166666666668</v>
      </c>
      <c r="AP24" s="712">
        <f t="shared" si="3"/>
        <v>13359.166666666668</v>
      </c>
      <c r="AQ24" s="711">
        <f t="shared" si="3"/>
        <v>13359.166666666668</v>
      </c>
      <c r="AR24" s="712">
        <f t="shared" si="3"/>
        <v>13359.166666666668</v>
      </c>
      <c r="AS24" s="711">
        <f t="shared" si="3"/>
        <v>13359.166666666668</v>
      </c>
      <c r="AT24" s="712">
        <f>$D$24*AT13</f>
        <v>13359.166666666668</v>
      </c>
      <c r="AU24" s="711">
        <f t="shared" ref="AU24:CL24" si="4">$D$24*AU13</f>
        <v>13359.166666666668</v>
      </c>
      <c r="AV24" s="711">
        <f t="shared" si="4"/>
        <v>13359.166666666668</v>
      </c>
      <c r="AW24" s="711">
        <f t="shared" si="4"/>
        <v>13359.166666666668</v>
      </c>
      <c r="AX24" s="711">
        <f t="shared" si="4"/>
        <v>13359.166666666668</v>
      </c>
      <c r="AY24" s="711">
        <f t="shared" si="4"/>
        <v>13359.166666666668</v>
      </c>
      <c r="AZ24" s="711">
        <f t="shared" si="4"/>
        <v>13359.166666666668</v>
      </c>
      <c r="BA24" s="711">
        <f t="shared" si="4"/>
        <v>13359.166666666668</v>
      </c>
      <c r="BB24" s="711">
        <f t="shared" si="4"/>
        <v>13359.166666666668</v>
      </c>
      <c r="BC24" s="711">
        <f t="shared" si="4"/>
        <v>13359.166666666668</v>
      </c>
      <c r="BD24" s="711">
        <f t="shared" si="4"/>
        <v>13359.166666666668</v>
      </c>
      <c r="BE24" s="711">
        <f t="shared" si="4"/>
        <v>13359.166666666668</v>
      </c>
      <c r="BF24" s="711">
        <f t="shared" si="4"/>
        <v>13359.166666666668</v>
      </c>
      <c r="BG24" s="711">
        <f t="shared" si="4"/>
        <v>13359.166666666668</v>
      </c>
      <c r="BH24" s="711">
        <f t="shared" si="4"/>
        <v>13359.166666666668</v>
      </c>
      <c r="BI24" s="711">
        <f t="shared" si="4"/>
        <v>13359.166666666668</v>
      </c>
      <c r="BJ24" s="711">
        <f t="shared" si="4"/>
        <v>13359.166666666668</v>
      </c>
      <c r="BK24" s="711">
        <f t="shared" si="4"/>
        <v>13359.166666666668</v>
      </c>
      <c r="BL24" s="711">
        <f t="shared" si="4"/>
        <v>13359.166666666668</v>
      </c>
      <c r="BM24" s="711">
        <f t="shared" si="4"/>
        <v>13359.166666666668</v>
      </c>
      <c r="BN24" s="711">
        <f t="shared" si="4"/>
        <v>13359.166666666668</v>
      </c>
      <c r="BO24" s="711">
        <f t="shared" si="4"/>
        <v>13359.166666666668</v>
      </c>
      <c r="BP24" s="711">
        <f t="shared" si="4"/>
        <v>13359.166666666668</v>
      </c>
      <c r="BQ24" s="711">
        <f t="shared" si="4"/>
        <v>13359.166666666668</v>
      </c>
      <c r="BR24" s="711">
        <f t="shared" si="4"/>
        <v>13359.166666666668</v>
      </c>
      <c r="BS24" s="711">
        <f t="shared" si="4"/>
        <v>13359.166666666668</v>
      </c>
      <c r="BT24" s="711">
        <f t="shared" si="4"/>
        <v>13359.166666666668</v>
      </c>
      <c r="BU24" s="711">
        <f t="shared" si="4"/>
        <v>13359.166666666668</v>
      </c>
      <c r="BV24" s="711">
        <f t="shared" si="4"/>
        <v>13359.166666666668</v>
      </c>
      <c r="BW24" s="711">
        <f t="shared" si="4"/>
        <v>13359.166666666668</v>
      </c>
      <c r="BX24" s="711">
        <f t="shared" si="4"/>
        <v>13359.166666666668</v>
      </c>
      <c r="BY24" s="711">
        <f t="shared" si="4"/>
        <v>13359.166666666668</v>
      </c>
      <c r="BZ24" s="711">
        <f t="shared" si="4"/>
        <v>13359.166666666668</v>
      </c>
      <c r="CA24" s="711">
        <f t="shared" si="4"/>
        <v>13359.166666666668</v>
      </c>
      <c r="CB24" s="711">
        <f t="shared" si="4"/>
        <v>13359.166666666668</v>
      </c>
      <c r="CC24" s="711">
        <f t="shared" si="4"/>
        <v>13359.166666666668</v>
      </c>
      <c r="CD24" s="711">
        <f t="shared" si="4"/>
        <v>13359.166666666668</v>
      </c>
      <c r="CE24" s="711">
        <f t="shared" si="4"/>
        <v>13359.166666666668</v>
      </c>
      <c r="CF24" s="711">
        <f t="shared" si="4"/>
        <v>13359.166666666668</v>
      </c>
      <c r="CG24" s="711">
        <f t="shared" si="4"/>
        <v>13359.166666666668</v>
      </c>
      <c r="CH24" s="711">
        <f t="shared" si="4"/>
        <v>13359.166666666668</v>
      </c>
      <c r="CI24" s="711">
        <f t="shared" si="4"/>
        <v>13359.166666666668</v>
      </c>
      <c r="CJ24" s="711">
        <f t="shared" si="4"/>
        <v>13359.166666666668</v>
      </c>
      <c r="CK24" s="711">
        <f t="shared" si="4"/>
        <v>13359.166666666668</v>
      </c>
      <c r="CL24" s="713">
        <f t="shared" si="4"/>
        <v>13359.166666666668</v>
      </c>
      <c r="CM24" s="642">
        <f t="shared" si="0"/>
        <v>13359.166666666659</v>
      </c>
      <c r="CN24" s="245"/>
      <c r="CO24" s="245"/>
      <c r="CP24" s="245"/>
      <c r="CQ24" s="245"/>
      <c r="CR24" s="245"/>
      <c r="CS24" s="245"/>
      <c r="CT24" s="245"/>
      <c r="CU24" s="245"/>
      <c r="CV24" s="245"/>
      <c r="CW24" s="245"/>
      <c r="CX24" s="245"/>
      <c r="CY24" s="245"/>
      <c r="CZ24" s="245"/>
      <c r="DA24" s="245"/>
      <c r="DB24" s="245"/>
      <c r="DC24" s="245"/>
      <c r="DD24" s="245"/>
      <c r="DE24" s="245"/>
      <c r="DF24" s="245"/>
      <c r="DG24" s="245"/>
      <c r="DH24" s="245"/>
      <c r="DI24" s="245"/>
      <c r="DJ24" s="245"/>
      <c r="DK24" s="245"/>
      <c r="DL24" s="245"/>
      <c r="DM24" s="245"/>
      <c r="DN24" s="245"/>
      <c r="DO24" s="245"/>
      <c r="DP24" s="245"/>
      <c r="DQ24" s="245"/>
      <c r="DR24" s="245"/>
      <c r="DS24" s="245"/>
      <c r="DT24" s="245"/>
      <c r="DU24" s="245"/>
      <c r="DV24" s="245"/>
      <c r="DW24" s="245"/>
      <c r="DX24" s="245"/>
      <c r="DY24" s="245"/>
      <c r="DZ24" s="245"/>
      <c r="EA24" s="245"/>
      <c r="EB24" s="245"/>
      <c r="EC24" s="245"/>
      <c r="ED24" s="245"/>
      <c r="EE24" s="245"/>
      <c r="EF24" s="245"/>
      <c r="EG24" s="245"/>
      <c r="EH24" s="245"/>
      <c r="EI24" s="245"/>
      <c r="EJ24" s="245"/>
      <c r="EK24" s="245"/>
      <c r="EL24" s="245"/>
      <c r="EM24" s="245"/>
      <c r="EN24" s="245"/>
      <c r="EO24" s="245"/>
      <c r="EP24" s="245"/>
      <c r="EQ24" s="245"/>
      <c r="ER24" s="245"/>
      <c r="ES24" s="245"/>
      <c r="ET24" s="245"/>
      <c r="EU24" s="245"/>
      <c r="EV24" s="245"/>
      <c r="EW24" s="245"/>
      <c r="EX24" s="245"/>
      <c r="EY24" s="245"/>
      <c r="EZ24" s="245"/>
      <c r="FA24" s="245"/>
      <c r="FB24" s="245"/>
      <c r="FC24" s="245"/>
      <c r="FD24" s="245"/>
      <c r="FE24" s="245"/>
      <c r="FF24" s="245"/>
      <c r="FG24" s="245"/>
      <c r="FH24" s="245"/>
      <c r="FI24" s="245"/>
      <c r="FJ24" s="245"/>
      <c r="FK24" s="245"/>
      <c r="FL24" s="245"/>
      <c r="FM24" s="245"/>
      <c r="FN24" s="245"/>
      <c r="FO24" s="245"/>
      <c r="FP24" s="245"/>
      <c r="FQ24" s="245"/>
      <c r="FR24" s="245"/>
      <c r="FS24" s="245"/>
      <c r="FT24" s="245"/>
      <c r="FU24" s="245"/>
      <c r="FV24" s="245"/>
    </row>
    <row r="25" spans="1:178">
      <c r="A25" s="1025"/>
      <c r="B25" s="639" t="s">
        <v>312</v>
      </c>
      <c r="C25" s="640" t="s">
        <v>313</v>
      </c>
      <c r="D25" s="640">
        <v>0.26500000000000001</v>
      </c>
      <c r="E25" s="245"/>
      <c r="F25" s="665" t="s">
        <v>172</v>
      </c>
      <c r="G25" s="711">
        <v>3003.3333333333335</v>
      </c>
      <c r="H25" s="711">
        <v>3003.3333333333335</v>
      </c>
      <c r="I25" s="711">
        <v>3003.3333333333335</v>
      </c>
      <c r="J25" s="711">
        <v>3003.3333333333335</v>
      </c>
      <c r="K25" s="711">
        <v>3003.3333333333335</v>
      </c>
      <c r="L25" s="711">
        <v>3003.3333333333335</v>
      </c>
      <c r="M25" s="711">
        <v>3003.3333333333335</v>
      </c>
      <c r="N25" s="711">
        <v>3003.3333333333335</v>
      </c>
      <c r="O25" s="711">
        <v>3003.3333333333335</v>
      </c>
      <c r="P25" s="711">
        <v>3003.3333333333335</v>
      </c>
      <c r="Q25" s="711">
        <v>3003.3333333333335</v>
      </c>
      <c r="R25" s="711">
        <v>3003.3333333333335</v>
      </c>
      <c r="S25" s="711">
        <v>3003.3333333333335</v>
      </c>
      <c r="T25" s="712">
        <f t="shared" ref="T25:AS25" si="5">$D$25*T14</f>
        <v>3003.3333333333335</v>
      </c>
      <c r="U25" s="711">
        <f t="shared" si="5"/>
        <v>3003.3333333333335</v>
      </c>
      <c r="V25" s="712">
        <f t="shared" si="5"/>
        <v>3003.3333333333335</v>
      </c>
      <c r="W25" s="711">
        <f t="shared" si="5"/>
        <v>3003.3333333333335</v>
      </c>
      <c r="X25" s="712">
        <f t="shared" si="5"/>
        <v>3003.3333333333335</v>
      </c>
      <c r="Y25" s="711">
        <f t="shared" si="5"/>
        <v>3003.3333333333335</v>
      </c>
      <c r="Z25" s="712">
        <f t="shared" si="5"/>
        <v>3003.3333333333335</v>
      </c>
      <c r="AA25" s="711">
        <f t="shared" si="5"/>
        <v>3003.3333333333335</v>
      </c>
      <c r="AB25" s="712">
        <f t="shared" si="5"/>
        <v>3003.3333333333335</v>
      </c>
      <c r="AC25" s="711">
        <f t="shared" si="5"/>
        <v>3003.3333333333335</v>
      </c>
      <c r="AD25" s="712">
        <f t="shared" si="5"/>
        <v>3003.3333333333335</v>
      </c>
      <c r="AE25" s="711">
        <f t="shared" si="5"/>
        <v>3003.3333333333335</v>
      </c>
      <c r="AF25" s="712">
        <f t="shared" si="5"/>
        <v>3003.3333333333335</v>
      </c>
      <c r="AG25" s="711">
        <f t="shared" si="5"/>
        <v>3003.3333333333335</v>
      </c>
      <c r="AH25" s="712">
        <f t="shared" si="5"/>
        <v>3003.3333333333335</v>
      </c>
      <c r="AI25" s="711">
        <f t="shared" si="5"/>
        <v>3003.3333333333335</v>
      </c>
      <c r="AJ25" s="712">
        <f t="shared" si="5"/>
        <v>3003.3333333333335</v>
      </c>
      <c r="AK25" s="711">
        <f t="shared" si="5"/>
        <v>3003.3333333333335</v>
      </c>
      <c r="AL25" s="712">
        <f t="shared" si="5"/>
        <v>3003.3333333333335</v>
      </c>
      <c r="AM25" s="711">
        <f t="shared" si="5"/>
        <v>3003.3333333333335</v>
      </c>
      <c r="AN25" s="712">
        <f t="shared" si="5"/>
        <v>3003.3333333333335</v>
      </c>
      <c r="AO25" s="711">
        <f t="shared" si="5"/>
        <v>3003.3333333333335</v>
      </c>
      <c r="AP25" s="712">
        <f t="shared" si="5"/>
        <v>3003.3333333333335</v>
      </c>
      <c r="AQ25" s="711">
        <f t="shared" si="5"/>
        <v>3003.3333333333335</v>
      </c>
      <c r="AR25" s="712">
        <f t="shared" si="5"/>
        <v>3003.3333333333335</v>
      </c>
      <c r="AS25" s="711">
        <f t="shared" si="5"/>
        <v>3003.3333333333335</v>
      </c>
      <c r="AT25" s="712">
        <f>$D$25*AT14</f>
        <v>3003.3333333333335</v>
      </c>
      <c r="AU25" s="711">
        <f t="shared" ref="AU25:CL25" si="6">$D$25*AU14</f>
        <v>3003.3333333333335</v>
      </c>
      <c r="AV25" s="711">
        <f t="shared" si="6"/>
        <v>3003.3333333333335</v>
      </c>
      <c r="AW25" s="711">
        <f t="shared" si="6"/>
        <v>3003.3333333333335</v>
      </c>
      <c r="AX25" s="711">
        <f t="shared" si="6"/>
        <v>3003.3333333333335</v>
      </c>
      <c r="AY25" s="711">
        <f t="shared" si="6"/>
        <v>3003.3333333333335</v>
      </c>
      <c r="AZ25" s="711">
        <f t="shared" si="6"/>
        <v>3003.3333333333335</v>
      </c>
      <c r="BA25" s="711">
        <f t="shared" si="6"/>
        <v>3003.3333333333335</v>
      </c>
      <c r="BB25" s="711">
        <f t="shared" si="6"/>
        <v>3003.3333333333335</v>
      </c>
      <c r="BC25" s="711">
        <f t="shared" si="6"/>
        <v>3003.3333333333335</v>
      </c>
      <c r="BD25" s="711">
        <f t="shared" si="6"/>
        <v>3003.3333333333335</v>
      </c>
      <c r="BE25" s="711">
        <f t="shared" si="6"/>
        <v>3003.3333333333335</v>
      </c>
      <c r="BF25" s="711">
        <f t="shared" si="6"/>
        <v>3003.3333333333335</v>
      </c>
      <c r="BG25" s="711">
        <f t="shared" si="6"/>
        <v>3003.3333333333335</v>
      </c>
      <c r="BH25" s="711">
        <f t="shared" si="6"/>
        <v>3003.3333333333335</v>
      </c>
      <c r="BI25" s="711">
        <f t="shared" si="6"/>
        <v>3003.3333333333335</v>
      </c>
      <c r="BJ25" s="711">
        <f t="shared" si="6"/>
        <v>3003.3333333333335</v>
      </c>
      <c r="BK25" s="711">
        <f t="shared" si="6"/>
        <v>3003.3333333333335</v>
      </c>
      <c r="BL25" s="711">
        <f t="shared" si="6"/>
        <v>3003.3333333333335</v>
      </c>
      <c r="BM25" s="711">
        <f t="shared" si="6"/>
        <v>3003.3333333333335</v>
      </c>
      <c r="BN25" s="711">
        <f t="shared" si="6"/>
        <v>3003.3333333333335</v>
      </c>
      <c r="BO25" s="711">
        <f t="shared" si="6"/>
        <v>3003.3333333333335</v>
      </c>
      <c r="BP25" s="711">
        <f t="shared" si="6"/>
        <v>3003.3333333333335</v>
      </c>
      <c r="BQ25" s="711">
        <f t="shared" si="6"/>
        <v>3003.3333333333335</v>
      </c>
      <c r="BR25" s="711">
        <f t="shared" si="6"/>
        <v>3003.3333333333335</v>
      </c>
      <c r="BS25" s="711">
        <f t="shared" si="6"/>
        <v>3003.3333333333335</v>
      </c>
      <c r="BT25" s="711">
        <f t="shared" si="6"/>
        <v>3003.3333333333335</v>
      </c>
      <c r="BU25" s="711">
        <f t="shared" si="6"/>
        <v>3003.3333333333335</v>
      </c>
      <c r="BV25" s="711">
        <f t="shared" si="6"/>
        <v>3003.3333333333335</v>
      </c>
      <c r="BW25" s="711">
        <f t="shared" si="6"/>
        <v>3003.3333333333335</v>
      </c>
      <c r="BX25" s="711">
        <f t="shared" si="6"/>
        <v>3003.3333333333335</v>
      </c>
      <c r="BY25" s="711">
        <f t="shared" si="6"/>
        <v>3003.3333333333335</v>
      </c>
      <c r="BZ25" s="711">
        <f t="shared" si="6"/>
        <v>3003.3333333333335</v>
      </c>
      <c r="CA25" s="711">
        <f t="shared" si="6"/>
        <v>3003.3333333333335</v>
      </c>
      <c r="CB25" s="711">
        <f t="shared" si="6"/>
        <v>3003.3333333333335</v>
      </c>
      <c r="CC25" s="711">
        <f t="shared" si="6"/>
        <v>3003.3333333333335</v>
      </c>
      <c r="CD25" s="711">
        <f t="shared" si="6"/>
        <v>3003.3333333333335</v>
      </c>
      <c r="CE25" s="711">
        <f t="shared" si="6"/>
        <v>3003.3333333333335</v>
      </c>
      <c r="CF25" s="711">
        <f t="shared" si="6"/>
        <v>3003.3333333333335</v>
      </c>
      <c r="CG25" s="711">
        <f t="shared" si="6"/>
        <v>3003.3333333333335</v>
      </c>
      <c r="CH25" s="711">
        <f t="shared" si="6"/>
        <v>3003.3333333333335</v>
      </c>
      <c r="CI25" s="711">
        <f t="shared" si="6"/>
        <v>3003.3333333333335</v>
      </c>
      <c r="CJ25" s="711">
        <f t="shared" si="6"/>
        <v>3003.3333333333335</v>
      </c>
      <c r="CK25" s="711">
        <f t="shared" si="6"/>
        <v>3003.3333333333335</v>
      </c>
      <c r="CL25" s="713">
        <f t="shared" si="6"/>
        <v>3003.3333333333335</v>
      </c>
      <c r="CM25" s="642">
        <f t="shared" si="0"/>
        <v>3003.3333333333371</v>
      </c>
      <c r="CN25" s="245"/>
      <c r="CO25" s="245"/>
      <c r="CP25" s="245"/>
      <c r="CQ25" s="245"/>
      <c r="CR25" s="245"/>
      <c r="CS25" s="245"/>
      <c r="CT25" s="245"/>
      <c r="CU25" s="245"/>
      <c r="CV25" s="245"/>
      <c r="CW25" s="245"/>
      <c r="CX25" s="245"/>
      <c r="CY25" s="245"/>
      <c r="CZ25" s="245"/>
      <c r="DA25" s="245"/>
      <c r="DB25" s="245"/>
      <c r="DC25" s="245"/>
      <c r="DD25" s="245"/>
      <c r="DE25" s="245"/>
      <c r="DF25" s="245"/>
      <c r="DG25" s="245"/>
      <c r="DH25" s="245"/>
      <c r="DI25" s="245"/>
      <c r="DJ25" s="245"/>
      <c r="DK25" s="245"/>
      <c r="DL25" s="245"/>
      <c r="DM25" s="245"/>
      <c r="DN25" s="245"/>
      <c r="DO25" s="245"/>
      <c r="DP25" s="245"/>
      <c r="DQ25" s="245"/>
      <c r="DR25" s="245"/>
      <c r="DS25" s="245"/>
      <c r="DT25" s="245"/>
      <c r="DU25" s="245"/>
      <c r="DV25" s="245"/>
      <c r="DW25" s="245"/>
      <c r="DX25" s="245"/>
      <c r="DY25" s="245"/>
      <c r="DZ25" s="245"/>
      <c r="EA25" s="245"/>
      <c r="EB25" s="245"/>
      <c r="EC25" s="245"/>
      <c r="ED25" s="245"/>
      <c r="EE25" s="245"/>
      <c r="EF25" s="245"/>
      <c r="EG25" s="245"/>
      <c r="EH25" s="245"/>
      <c r="EI25" s="245"/>
      <c r="EJ25" s="245"/>
      <c r="EK25" s="245"/>
      <c r="EL25" s="245"/>
      <c r="EM25" s="245"/>
      <c r="EN25" s="245"/>
      <c r="EO25" s="245"/>
      <c r="EP25" s="245"/>
      <c r="EQ25" s="245"/>
      <c r="ER25" s="245"/>
      <c r="ES25" s="245"/>
      <c r="ET25" s="245"/>
      <c r="EU25" s="245"/>
      <c r="EV25" s="245"/>
      <c r="EW25" s="245"/>
      <c r="EX25" s="245"/>
      <c r="EY25" s="245"/>
      <c r="EZ25" s="245"/>
      <c r="FA25" s="245"/>
      <c r="FB25" s="245"/>
      <c r="FC25" s="245"/>
      <c r="FD25" s="245"/>
      <c r="FE25" s="245"/>
      <c r="FF25" s="245"/>
      <c r="FG25" s="245"/>
      <c r="FH25" s="245"/>
      <c r="FI25" s="245"/>
      <c r="FJ25" s="245"/>
      <c r="FK25" s="245"/>
      <c r="FL25" s="245"/>
      <c r="FM25" s="245"/>
      <c r="FN25" s="245"/>
      <c r="FO25" s="245"/>
      <c r="FP25" s="245"/>
      <c r="FQ25" s="245"/>
      <c r="FR25" s="245"/>
      <c r="FS25" s="245"/>
      <c r="FT25" s="245"/>
      <c r="FU25" s="245"/>
      <c r="FV25" s="245"/>
    </row>
    <row r="26" spans="1:178">
      <c r="A26" s="1025"/>
      <c r="B26" s="639" t="s">
        <v>312</v>
      </c>
      <c r="C26" s="640" t="s">
        <v>313</v>
      </c>
      <c r="D26" s="640">
        <v>0.18049999999999999</v>
      </c>
      <c r="E26" s="245"/>
      <c r="F26" s="665" t="s">
        <v>173</v>
      </c>
      <c r="G26" s="711">
        <v>24232.125</v>
      </c>
      <c r="H26" s="711">
        <v>24232.125</v>
      </c>
      <c r="I26" s="711">
        <v>24232.125</v>
      </c>
      <c r="J26" s="711">
        <v>24232.125</v>
      </c>
      <c r="K26" s="711">
        <v>24232.125</v>
      </c>
      <c r="L26" s="711">
        <v>24232.125</v>
      </c>
      <c r="M26" s="711">
        <v>24232.125</v>
      </c>
      <c r="N26" s="711">
        <v>24232.125</v>
      </c>
      <c r="O26" s="711">
        <v>24232.125</v>
      </c>
      <c r="P26" s="711">
        <v>24232.125</v>
      </c>
      <c r="Q26" s="711">
        <v>24232.125</v>
      </c>
      <c r="R26" s="711">
        <v>24232.125</v>
      </c>
      <c r="S26" s="711">
        <v>24232.125</v>
      </c>
      <c r="T26" s="712">
        <f t="shared" ref="T26:AS26" si="7">$D$26*T15</f>
        <v>24232.125</v>
      </c>
      <c r="U26" s="711">
        <f t="shared" si="7"/>
        <v>24232.125</v>
      </c>
      <c r="V26" s="712">
        <f t="shared" si="7"/>
        <v>24232.125</v>
      </c>
      <c r="W26" s="711">
        <f t="shared" si="7"/>
        <v>24232.125</v>
      </c>
      <c r="X26" s="712">
        <f t="shared" si="7"/>
        <v>24232.125</v>
      </c>
      <c r="Y26" s="711">
        <f t="shared" si="7"/>
        <v>24232.125</v>
      </c>
      <c r="Z26" s="712">
        <f t="shared" si="7"/>
        <v>24232.125</v>
      </c>
      <c r="AA26" s="711">
        <f t="shared" si="7"/>
        <v>24232.125</v>
      </c>
      <c r="AB26" s="712">
        <f t="shared" si="7"/>
        <v>24232.125</v>
      </c>
      <c r="AC26" s="711">
        <f t="shared" si="7"/>
        <v>24232.125</v>
      </c>
      <c r="AD26" s="712">
        <f t="shared" si="7"/>
        <v>24232.125</v>
      </c>
      <c r="AE26" s="711">
        <f t="shared" si="7"/>
        <v>24232.125</v>
      </c>
      <c r="AF26" s="712">
        <f t="shared" si="7"/>
        <v>24232.125</v>
      </c>
      <c r="AG26" s="711">
        <f t="shared" si="7"/>
        <v>24232.125</v>
      </c>
      <c r="AH26" s="712">
        <f t="shared" si="7"/>
        <v>24232.125</v>
      </c>
      <c r="AI26" s="711">
        <f t="shared" si="7"/>
        <v>24232.125</v>
      </c>
      <c r="AJ26" s="712">
        <f t="shared" si="7"/>
        <v>24232.125</v>
      </c>
      <c r="AK26" s="711">
        <f t="shared" si="7"/>
        <v>24232.125</v>
      </c>
      <c r="AL26" s="712">
        <f t="shared" si="7"/>
        <v>24232.125</v>
      </c>
      <c r="AM26" s="711">
        <f t="shared" si="7"/>
        <v>24232.125</v>
      </c>
      <c r="AN26" s="712">
        <f t="shared" si="7"/>
        <v>24232.125</v>
      </c>
      <c r="AO26" s="711">
        <f t="shared" si="7"/>
        <v>24232.125</v>
      </c>
      <c r="AP26" s="712">
        <f t="shared" si="7"/>
        <v>24232.125</v>
      </c>
      <c r="AQ26" s="711">
        <f t="shared" si="7"/>
        <v>24232.125</v>
      </c>
      <c r="AR26" s="712">
        <f t="shared" si="7"/>
        <v>24232.125</v>
      </c>
      <c r="AS26" s="711">
        <f t="shared" si="7"/>
        <v>24232.125</v>
      </c>
      <c r="AT26" s="712">
        <f>$D$26*AT15</f>
        <v>24232.125</v>
      </c>
      <c r="AU26" s="711">
        <f t="shared" ref="AU26:CL26" si="8">$D$26*AU15</f>
        <v>24232.125</v>
      </c>
      <c r="AV26" s="711">
        <f t="shared" si="8"/>
        <v>24232.125</v>
      </c>
      <c r="AW26" s="711">
        <f t="shared" si="8"/>
        <v>24232.125</v>
      </c>
      <c r="AX26" s="711">
        <f t="shared" si="8"/>
        <v>24232.125</v>
      </c>
      <c r="AY26" s="711">
        <f t="shared" si="8"/>
        <v>24232.125</v>
      </c>
      <c r="AZ26" s="711">
        <f t="shared" si="8"/>
        <v>24232.125</v>
      </c>
      <c r="BA26" s="711">
        <f t="shared" si="8"/>
        <v>24232.125</v>
      </c>
      <c r="BB26" s="711">
        <f t="shared" si="8"/>
        <v>24232.125</v>
      </c>
      <c r="BC26" s="711">
        <f t="shared" si="8"/>
        <v>24232.125</v>
      </c>
      <c r="BD26" s="711">
        <f t="shared" si="8"/>
        <v>24232.125</v>
      </c>
      <c r="BE26" s="711">
        <f t="shared" si="8"/>
        <v>24232.125</v>
      </c>
      <c r="BF26" s="711">
        <f t="shared" si="8"/>
        <v>24232.125</v>
      </c>
      <c r="BG26" s="711">
        <f t="shared" si="8"/>
        <v>24232.125</v>
      </c>
      <c r="BH26" s="711">
        <f t="shared" si="8"/>
        <v>24232.125</v>
      </c>
      <c r="BI26" s="711">
        <f t="shared" si="8"/>
        <v>24232.125</v>
      </c>
      <c r="BJ26" s="711">
        <f t="shared" si="8"/>
        <v>24232.125</v>
      </c>
      <c r="BK26" s="711">
        <f t="shared" si="8"/>
        <v>24232.125</v>
      </c>
      <c r="BL26" s="711">
        <f t="shared" si="8"/>
        <v>24232.125</v>
      </c>
      <c r="BM26" s="711">
        <f t="shared" si="8"/>
        <v>24232.125</v>
      </c>
      <c r="BN26" s="711">
        <f t="shared" si="8"/>
        <v>24232.125</v>
      </c>
      <c r="BO26" s="711">
        <f t="shared" si="8"/>
        <v>24232.125</v>
      </c>
      <c r="BP26" s="711">
        <f t="shared" si="8"/>
        <v>24232.125</v>
      </c>
      <c r="BQ26" s="711">
        <f t="shared" si="8"/>
        <v>24232.125</v>
      </c>
      <c r="BR26" s="711">
        <f t="shared" si="8"/>
        <v>24232.125</v>
      </c>
      <c r="BS26" s="711">
        <f t="shared" si="8"/>
        <v>24232.125</v>
      </c>
      <c r="BT26" s="711">
        <f t="shared" si="8"/>
        <v>24232.125</v>
      </c>
      <c r="BU26" s="711">
        <f t="shared" si="8"/>
        <v>24232.125</v>
      </c>
      <c r="BV26" s="711">
        <f t="shared" si="8"/>
        <v>24232.125</v>
      </c>
      <c r="BW26" s="711">
        <f t="shared" si="8"/>
        <v>24232.125</v>
      </c>
      <c r="BX26" s="711">
        <f t="shared" si="8"/>
        <v>24232.125</v>
      </c>
      <c r="BY26" s="711">
        <f t="shared" si="8"/>
        <v>24232.125</v>
      </c>
      <c r="BZ26" s="711">
        <f t="shared" si="8"/>
        <v>24232.125</v>
      </c>
      <c r="CA26" s="711">
        <f t="shared" si="8"/>
        <v>24232.125</v>
      </c>
      <c r="CB26" s="711">
        <f t="shared" si="8"/>
        <v>24232.125</v>
      </c>
      <c r="CC26" s="711">
        <f t="shared" si="8"/>
        <v>24232.125</v>
      </c>
      <c r="CD26" s="711">
        <f t="shared" si="8"/>
        <v>24232.125</v>
      </c>
      <c r="CE26" s="711">
        <f t="shared" si="8"/>
        <v>24232.125</v>
      </c>
      <c r="CF26" s="711">
        <f t="shared" si="8"/>
        <v>24232.125</v>
      </c>
      <c r="CG26" s="711">
        <f t="shared" si="8"/>
        <v>24232.125</v>
      </c>
      <c r="CH26" s="711">
        <f t="shared" si="8"/>
        <v>24232.125</v>
      </c>
      <c r="CI26" s="711">
        <f t="shared" si="8"/>
        <v>24232.125</v>
      </c>
      <c r="CJ26" s="711">
        <f t="shared" si="8"/>
        <v>24232.125</v>
      </c>
      <c r="CK26" s="711">
        <f t="shared" si="8"/>
        <v>24232.125</v>
      </c>
      <c r="CL26" s="713">
        <f t="shared" si="8"/>
        <v>24232.125</v>
      </c>
      <c r="CM26" s="642">
        <f t="shared" si="0"/>
        <v>24232.125</v>
      </c>
      <c r="CN26" s="245"/>
      <c r="CO26" s="245"/>
      <c r="CP26" s="245"/>
      <c r="CQ26" s="245"/>
      <c r="CR26" s="245"/>
      <c r="CS26" s="245"/>
      <c r="CT26" s="245"/>
      <c r="CU26" s="245"/>
      <c r="CV26" s="245"/>
      <c r="CW26" s="245"/>
      <c r="CX26" s="245"/>
      <c r="CY26" s="245"/>
      <c r="CZ26" s="245"/>
      <c r="DA26" s="245"/>
      <c r="DB26" s="245"/>
      <c r="DC26" s="245"/>
      <c r="DD26" s="245"/>
      <c r="DE26" s="245"/>
      <c r="DF26" s="245"/>
      <c r="DG26" s="245"/>
      <c r="DH26" s="245"/>
      <c r="DI26" s="245"/>
      <c r="DJ26" s="245"/>
      <c r="DK26" s="245"/>
      <c r="DL26" s="245"/>
      <c r="DM26" s="245"/>
      <c r="DN26" s="245"/>
      <c r="DO26" s="245"/>
      <c r="DP26" s="245"/>
      <c r="DQ26" s="245"/>
      <c r="DR26" s="245"/>
      <c r="DS26" s="245"/>
      <c r="DT26" s="245"/>
      <c r="DU26" s="245"/>
      <c r="DV26" s="245"/>
      <c r="DW26" s="245"/>
      <c r="DX26" s="245"/>
      <c r="DY26" s="245"/>
      <c r="DZ26" s="245"/>
      <c r="EA26" s="245"/>
      <c r="EB26" s="245"/>
      <c r="EC26" s="245"/>
      <c r="ED26" s="245"/>
      <c r="EE26" s="245"/>
      <c r="EF26" s="245"/>
      <c r="EG26" s="245"/>
      <c r="EH26" s="245"/>
      <c r="EI26" s="245"/>
      <c r="EJ26" s="245"/>
      <c r="EK26" s="245"/>
      <c r="EL26" s="245"/>
      <c r="EM26" s="245"/>
      <c r="EN26" s="245"/>
      <c r="EO26" s="245"/>
      <c r="EP26" s="245"/>
      <c r="EQ26" s="245"/>
      <c r="ER26" s="245"/>
      <c r="ES26" s="245"/>
      <c r="ET26" s="245"/>
      <c r="EU26" s="245"/>
      <c r="EV26" s="245"/>
      <c r="EW26" s="245"/>
      <c r="EX26" s="245"/>
      <c r="EY26" s="245"/>
      <c r="EZ26" s="245"/>
      <c r="FA26" s="245"/>
      <c r="FB26" s="245"/>
      <c r="FC26" s="245"/>
      <c r="FD26" s="245"/>
      <c r="FE26" s="245"/>
      <c r="FF26" s="245"/>
      <c r="FG26" s="245"/>
      <c r="FH26" s="245"/>
      <c r="FI26" s="245"/>
      <c r="FJ26" s="245"/>
      <c r="FK26" s="245"/>
      <c r="FL26" s="245"/>
      <c r="FM26" s="245"/>
      <c r="FN26" s="245"/>
      <c r="FO26" s="245"/>
      <c r="FP26" s="245"/>
      <c r="FQ26" s="245"/>
      <c r="FR26" s="245"/>
      <c r="FS26" s="245"/>
      <c r="FT26" s="245"/>
      <c r="FU26" s="245"/>
      <c r="FV26" s="245"/>
    </row>
    <row r="27" spans="1:178">
      <c r="A27" s="1025"/>
      <c r="B27" s="639" t="s">
        <v>312</v>
      </c>
      <c r="C27" s="640" t="s">
        <v>313</v>
      </c>
      <c r="D27" s="640">
        <v>1.8104</v>
      </c>
      <c r="E27" s="245"/>
      <c r="F27" s="665" t="s">
        <v>174</v>
      </c>
      <c r="G27" s="711">
        <v>200391.36559999999</v>
      </c>
      <c r="H27" s="711">
        <v>200391.36559999999</v>
      </c>
      <c r="I27" s="711">
        <v>200391.36559999999</v>
      </c>
      <c r="J27" s="711">
        <v>200391.36559999999</v>
      </c>
      <c r="K27" s="711">
        <v>200391.36559999999</v>
      </c>
      <c r="L27" s="711">
        <v>200391.36559999999</v>
      </c>
      <c r="M27" s="711">
        <v>200391.36559999999</v>
      </c>
      <c r="N27" s="711">
        <v>200391.36559999999</v>
      </c>
      <c r="O27" s="711">
        <v>200391.36559999999</v>
      </c>
      <c r="P27" s="711">
        <v>200391.36559999999</v>
      </c>
      <c r="Q27" s="711">
        <v>200391.36559999999</v>
      </c>
      <c r="R27" s="711">
        <v>200391.36559999999</v>
      </c>
      <c r="S27" s="711">
        <v>200391.36559999999</v>
      </c>
      <c r="T27" s="712">
        <f t="shared" ref="T27:AS27" si="9">$D$27*T16</f>
        <v>200391.36559999999</v>
      </c>
      <c r="U27" s="711">
        <f t="shared" si="9"/>
        <v>200391.36559999999</v>
      </c>
      <c r="V27" s="712">
        <f t="shared" si="9"/>
        <v>200391.36559999999</v>
      </c>
      <c r="W27" s="711">
        <f t="shared" si="9"/>
        <v>200391.36559999999</v>
      </c>
      <c r="X27" s="712">
        <f t="shared" si="9"/>
        <v>200391.36559999999</v>
      </c>
      <c r="Y27" s="711">
        <f t="shared" si="9"/>
        <v>200391.36559999999</v>
      </c>
      <c r="Z27" s="712">
        <f t="shared" si="9"/>
        <v>200391.36559999999</v>
      </c>
      <c r="AA27" s="711">
        <f t="shared" si="9"/>
        <v>200391.36559999999</v>
      </c>
      <c r="AB27" s="712">
        <f t="shared" si="9"/>
        <v>200391.36559999999</v>
      </c>
      <c r="AC27" s="711">
        <f t="shared" si="9"/>
        <v>200391.36559999999</v>
      </c>
      <c r="AD27" s="712">
        <f t="shared" si="9"/>
        <v>200391.36559999999</v>
      </c>
      <c r="AE27" s="711">
        <f t="shared" si="9"/>
        <v>200391.36559999999</v>
      </c>
      <c r="AF27" s="712">
        <f t="shared" si="9"/>
        <v>200391.36559999999</v>
      </c>
      <c r="AG27" s="711">
        <f t="shared" si="9"/>
        <v>200391.36559999999</v>
      </c>
      <c r="AH27" s="712">
        <f t="shared" si="9"/>
        <v>200391.36559999999</v>
      </c>
      <c r="AI27" s="711">
        <f t="shared" si="9"/>
        <v>200391.36559999999</v>
      </c>
      <c r="AJ27" s="712">
        <f t="shared" si="9"/>
        <v>200391.36559999999</v>
      </c>
      <c r="AK27" s="711">
        <f t="shared" si="9"/>
        <v>200391.36559999999</v>
      </c>
      <c r="AL27" s="712">
        <f t="shared" si="9"/>
        <v>200391.36559999999</v>
      </c>
      <c r="AM27" s="711">
        <f t="shared" si="9"/>
        <v>200391.36559999999</v>
      </c>
      <c r="AN27" s="712">
        <f t="shared" si="9"/>
        <v>200391.36559999999</v>
      </c>
      <c r="AO27" s="711">
        <f t="shared" si="9"/>
        <v>200391.36559999999</v>
      </c>
      <c r="AP27" s="712">
        <f t="shared" si="9"/>
        <v>200391.36559999999</v>
      </c>
      <c r="AQ27" s="711">
        <f t="shared" si="9"/>
        <v>200391.36559999999</v>
      </c>
      <c r="AR27" s="712">
        <f t="shared" si="9"/>
        <v>200391.36559999999</v>
      </c>
      <c r="AS27" s="711">
        <f t="shared" si="9"/>
        <v>200391.36559999999</v>
      </c>
      <c r="AT27" s="712">
        <f>$D$27*AT16</f>
        <v>200391.36559999999</v>
      </c>
      <c r="AU27" s="711">
        <f t="shared" ref="AU27:CL27" si="10">$D$27*AU16</f>
        <v>200391.36559999999</v>
      </c>
      <c r="AV27" s="711">
        <f t="shared" si="10"/>
        <v>200391.36559999999</v>
      </c>
      <c r="AW27" s="711">
        <f t="shared" si="10"/>
        <v>200391.36559999999</v>
      </c>
      <c r="AX27" s="711">
        <f t="shared" si="10"/>
        <v>200391.36559999999</v>
      </c>
      <c r="AY27" s="711">
        <f t="shared" si="10"/>
        <v>200391.36559999999</v>
      </c>
      <c r="AZ27" s="711">
        <f t="shared" si="10"/>
        <v>200391.36559999999</v>
      </c>
      <c r="BA27" s="711">
        <f t="shared" si="10"/>
        <v>200391.36559999999</v>
      </c>
      <c r="BB27" s="711">
        <f t="shared" si="10"/>
        <v>200391.36559999999</v>
      </c>
      <c r="BC27" s="711">
        <f t="shared" si="10"/>
        <v>200391.36559999999</v>
      </c>
      <c r="BD27" s="711">
        <f t="shared" si="10"/>
        <v>200391.36559999999</v>
      </c>
      <c r="BE27" s="711">
        <f t="shared" si="10"/>
        <v>200391.36559999999</v>
      </c>
      <c r="BF27" s="711">
        <f t="shared" si="10"/>
        <v>200391.36559999999</v>
      </c>
      <c r="BG27" s="711">
        <f t="shared" si="10"/>
        <v>200391.36559999999</v>
      </c>
      <c r="BH27" s="711">
        <f t="shared" si="10"/>
        <v>200391.36559999999</v>
      </c>
      <c r="BI27" s="711">
        <f t="shared" si="10"/>
        <v>200391.36559999999</v>
      </c>
      <c r="BJ27" s="711">
        <f t="shared" si="10"/>
        <v>200391.36559999999</v>
      </c>
      <c r="BK27" s="711">
        <f t="shared" si="10"/>
        <v>200391.36559999999</v>
      </c>
      <c r="BL27" s="711">
        <f t="shared" si="10"/>
        <v>200391.36559999999</v>
      </c>
      <c r="BM27" s="711">
        <f t="shared" si="10"/>
        <v>200391.36559999999</v>
      </c>
      <c r="BN27" s="711">
        <f t="shared" si="10"/>
        <v>200391.36559999999</v>
      </c>
      <c r="BO27" s="711">
        <f t="shared" si="10"/>
        <v>200391.36559999999</v>
      </c>
      <c r="BP27" s="711">
        <f t="shared" si="10"/>
        <v>200391.36559999999</v>
      </c>
      <c r="BQ27" s="711">
        <f t="shared" si="10"/>
        <v>200391.36559999999</v>
      </c>
      <c r="BR27" s="711">
        <f t="shared" si="10"/>
        <v>200391.36559999999</v>
      </c>
      <c r="BS27" s="711">
        <f t="shared" si="10"/>
        <v>200391.36559999999</v>
      </c>
      <c r="BT27" s="711">
        <f t="shared" si="10"/>
        <v>200391.36559999999</v>
      </c>
      <c r="BU27" s="711">
        <f t="shared" si="10"/>
        <v>200391.36559999999</v>
      </c>
      <c r="BV27" s="711">
        <f t="shared" si="10"/>
        <v>200391.36559999999</v>
      </c>
      <c r="BW27" s="711">
        <f t="shared" si="10"/>
        <v>200391.36559999999</v>
      </c>
      <c r="BX27" s="711">
        <f t="shared" si="10"/>
        <v>200391.36559999999</v>
      </c>
      <c r="BY27" s="711">
        <f t="shared" si="10"/>
        <v>200391.36559999999</v>
      </c>
      <c r="BZ27" s="711">
        <f t="shared" si="10"/>
        <v>200391.36559999999</v>
      </c>
      <c r="CA27" s="711">
        <f t="shared" si="10"/>
        <v>200391.36559999999</v>
      </c>
      <c r="CB27" s="711">
        <f t="shared" si="10"/>
        <v>200391.36559999999</v>
      </c>
      <c r="CC27" s="711">
        <f t="shared" si="10"/>
        <v>200391.36559999999</v>
      </c>
      <c r="CD27" s="711">
        <f t="shared" si="10"/>
        <v>200391.36559999999</v>
      </c>
      <c r="CE27" s="711">
        <f t="shared" si="10"/>
        <v>200391.36559999999</v>
      </c>
      <c r="CF27" s="711">
        <f t="shared" si="10"/>
        <v>200391.36559999999</v>
      </c>
      <c r="CG27" s="711">
        <f t="shared" si="10"/>
        <v>200391.36559999999</v>
      </c>
      <c r="CH27" s="711">
        <f t="shared" si="10"/>
        <v>200391.36559999999</v>
      </c>
      <c r="CI27" s="711">
        <f t="shared" si="10"/>
        <v>200391.36559999999</v>
      </c>
      <c r="CJ27" s="711">
        <f t="shared" si="10"/>
        <v>200391.36559999999</v>
      </c>
      <c r="CK27" s="711">
        <f t="shared" si="10"/>
        <v>200391.36559999999</v>
      </c>
      <c r="CL27" s="713">
        <f t="shared" si="10"/>
        <v>200391.36559999999</v>
      </c>
      <c r="CM27" s="642">
        <f t="shared" si="0"/>
        <v>200391.36559999964</v>
      </c>
      <c r="CN27" s="245"/>
      <c r="CO27" s="245"/>
      <c r="CP27" s="245"/>
      <c r="CQ27" s="245"/>
      <c r="CR27" s="245"/>
      <c r="CS27" s="245"/>
      <c r="CT27" s="245"/>
      <c r="CU27" s="245"/>
      <c r="CV27" s="245"/>
      <c r="CW27" s="245"/>
      <c r="CX27" s="245"/>
      <c r="CY27" s="245"/>
      <c r="CZ27" s="245"/>
      <c r="DA27" s="245"/>
      <c r="DB27" s="245"/>
      <c r="DC27" s="245"/>
      <c r="DD27" s="245"/>
      <c r="DE27" s="245"/>
      <c r="DF27" s="245"/>
      <c r="DG27" s="245"/>
      <c r="DH27" s="245"/>
      <c r="DI27" s="245"/>
      <c r="DJ27" s="245"/>
      <c r="DK27" s="245"/>
      <c r="DL27" s="245"/>
      <c r="DM27" s="245"/>
      <c r="DN27" s="245"/>
      <c r="DO27" s="245"/>
      <c r="DP27" s="245"/>
      <c r="DQ27" s="245"/>
      <c r="DR27" s="245"/>
      <c r="DS27" s="245"/>
      <c r="DT27" s="245"/>
      <c r="DU27" s="245"/>
      <c r="DV27" s="245"/>
      <c r="DW27" s="245"/>
      <c r="DX27" s="245"/>
      <c r="DY27" s="245"/>
      <c r="DZ27" s="245"/>
      <c r="EA27" s="245"/>
      <c r="EB27" s="245"/>
      <c r="EC27" s="245"/>
      <c r="ED27" s="245"/>
      <c r="EE27" s="245"/>
      <c r="EF27" s="245"/>
      <c r="EG27" s="245"/>
      <c r="EH27" s="245"/>
      <c r="EI27" s="245"/>
      <c r="EJ27" s="245"/>
      <c r="EK27" s="245"/>
      <c r="EL27" s="245"/>
      <c r="EM27" s="245"/>
      <c r="EN27" s="245"/>
      <c r="EO27" s="245"/>
      <c r="EP27" s="245"/>
      <c r="EQ27" s="245"/>
      <c r="ER27" s="245"/>
      <c r="ES27" s="245"/>
      <c r="ET27" s="245"/>
      <c r="EU27" s="245"/>
      <c r="EV27" s="245"/>
      <c r="EW27" s="245"/>
      <c r="EX27" s="245"/>
      <c r="EY27" s="245"/>
      <c r="EZ27" s="245"/>
      <c r="FA27" s="245"/>
      <c r="FB27" s="245"/>
      <c r="FC27" s="245"/>
      <c r="FD27" s="245"/>
      <c r="FE27" s="245"/>
      <c r="FF27" s="245"/>
      <c r="FG27" s="245"/>
      <c r="FH27" s="245"/>
      <c r="FI27" s="245"/>
      <c r="FJ27" s="245"/>
      <c r="FK27" s="245"/>
      <c r="FL27" s="245"/>
      <c r="FM27" s="245"/>
      <c r="FN27" s="245"/>
      <c r="FO27" s="245"/>
      <c r="FP27" s="245"/>
      <c r="FQ27" s="245"/>
      <c r="FR27" s="245"/>
      <c r="FS27" s="245"/>
      <c r="FT27" s="245"/>
      <c r="FU27" s="245"/>
      <c r="FV27" s="245"/>
    </row>
    <row r="28" spans="1:178">
      <c r="A28" s="1025"/>
      <c r="B28" s="639" t="s">
        <v>312</v>
      </c>
      <c r="C28" s="640" t="s">
        <v>143</v>
      </c>
      <c r="D28" s="640"/>
      <c r="E28" s="245"/>
      <c r="F28" s="714" t="s">
        <v>318</v>
      </c>
      <c r="G28" s="715">
        <v>32343.773583749997</v>
      </c>
      <c r="H28" s="715">
        <v>32343.773583749997</v>
      </c>
      <c r="I28" s="715">
        <v>32343.773583749997</v>
      </c>
      <c r="J28" s="715">
        <v>32343.773583749997</v>
      </c>
      <c r="K28" s="715">
        <v>32343.773583749997</v>
      </c>
      <c r="L28" s="715">
        <v>32343.773583749997</v>
      </c>
      <c r="M28" s="715">
        <v>32343.773583749997</v>
      </c>
      <c r="N28" s="715">
        <v>32343.773583749997</v>
      </c>
      <c r="O28" s="715">
        <v>32343.773583749997</v>
      </c>
      <c r="P28" s="715">
        <v>32343.773583749997</v>
      </c>
      <c r="Q28" s="715">
        <v>32343.773583749997</v>
      </c>
      <c r="R28" s="715">
        <v>32343.773583749997</v>
      </c>
      <c r="S28" s="715">
        <v>32343.773583749997</v>
      </c>
      <c r="T28" s="715">
        <f t="shared" ref="T28:AS28" si="11">SUM(T29:T33)</f>
        <v>32343.773583749997</v>
      </c>
      <c r="U28" s="715">
        <f t="shared" si="11"/>
        <v>32343.773583749997</v>
      </c>
      <c r="V28" s="715">
        <f t="shared" si="11"/>
        <v>32343.773583749997</v>
      </c>
      <c r="W28" s="715">
        <f t="shared" si="11"/>
        <v>32343.773583749997</v>
      </c>
      <c r="X28" s="715">
        <f t="shared" si="11"/>
        <v>32343.773583749997</v>
      </c>
      <c r="Y28" s="715">
        <f t="shared" si="11"/>
        <v>32343.773583749997</v>
      </c>
      <c r="Z28" s="715">
        <f t="shared" si="11"/>
        <v>32343.773583749997</v>
      </c>
      <c r="AA28" s="715">
        <f t="shared" si="11"/>
        <v>32343.773583749997</v>
      </c>
      <c r="AB28" s="715">
        <f t="shared" si="11"/>
        <v>32343.773583749997</v>
      </c>
      <c r="AC28" s="715">
        <f t="shared" si="11"/>
        <v>32343.773583749997</v>
      </c>
      <c r="AD28" s="715">
        <f t="shared" si="11"/>
        <v>32343.773583749997</v>
      </c>
      <c r="AE28" s="715">
        <f t="shared" si="11"/>
        <v>32343.773583749997</v>
      </c>
      <c r="AF28" s="715">
        <f t="shared" si="11"/>
        <v>32343.773583749997</v>
      </c>
      <c r="AG28" s="715">
        <f t="shared" si="11"/>
        <v>32343.773583749997</v>
      </c>
      <c r="AH28" s="715">
        <f t="shared" si="11"/>
        <v>32343.773583749997</v>
      </c>
      <c r="AI28" s="715">
        <f t="shared" si="11"/>
        <v>32343.773583749997</v>
      </c>
      <c r="AJ28" s="715">
        <f t="shared" si="11"/>
        <v>32343.773583749997</v>
      </c>
      <c r="AK28" s="715">
        <f t="shared" si="11"/>
        <v>32343.773583749997</v>
      </c>
      <c r="AL28" s="715">
        <f t="shared" si="11"/>
        <v>32343.773583749997</v>
      </c>
      <c r="AM28" s="715">
        <f t="shared" si="11"/>
        <v>32343.773583749997</v>
      </c>
      <c r="AN28" s="715">
        <f t="shared" si="11"/>
        <v>32343.773583749997</v>
      </c>
      <c r="AO28" s="715">
        <f t="shared" si="11"/>
        <v>32343.773583749997</v>
      </c>
      <c r="AP28" s="715">
        <f t="shared" si="11"/>
        <v>32343.773583749997</v>
      </c>
      <c r="AQ28" s="715">
        <f t="shared" si="11"/>
        <v>32343.773583749997</v>
      </c>
      <c r="AR28" s="715">
        <f t="shared" si="11"/>
        <v>32343.773583749997</v>
      </c>
      <c r="AS28" s="715">
        <f t="shared" si="11"/>
        <v>32343.773583749997</v>
      </c>
      <c r="AT28" s="715">
        <f>SUM(AT29:AT33)</f>
        <v>32343.773583749997</v>
      </c>
      <c r="AU28" s="716">
        <f t="shared" ref="AU28:CL28" si="12">SUM(AU29:AU33)</f>
        <v>32343.773583749997</v>
      </c>
      <c r="AV28" s="716">
        <f t="shared" si="12"/>
        <v>32343.773583749997</v>
      </c>
      <c r="AW28" s="716">
        <f t="shared" si="12"/>
        <v>32343.773583749997</v>
      </c>
      <c r="AX28" s="716">
        <f t="shared" si="12"/>
        <v>32343.773583749997</v>
      </c>
      <c r="AY28" s="716">
        <f t="shared" si="12"/>
        <v>32343.773583749997</v>
      </c>
      <c r="AZ28" s="716">
        <f t="shared" si="12"/>
        <v>32343.773583749997</v>
      </c>
      <c r="BA28" s="716">
        <f t="shared" si="12"/>
        <v>32343.773583749997</v>
      </c>
      <c r="BB28" s="716">
        <f t="shared" si="12"/>
        <v>32343.773583749997</v>
      </c>
      <c r="BC28" s="716">
        <f t="shared" si="12"/>
        <v>32343.773583749997</v>
      </c>
      <c r="BD28" s="716">
        <f t="shared" si="12"/>
        <v>32343.773583749997</v>
      </c>
      <c r="BE28" s="716">
        <f t="shared" si="12"/>
        <v>32343.773583749997</v>
      </c>
      <c r="BF28" s="716">
        <f t="shared" si="12"/>
        <v>32343.773583749997</v>
      </c>
      <c r="BG28" s="716">
        <f t="shared" si="12"/>
        <v>32343.773583749997</v>
      </c>
      <c r="BH28" s="716">
        <f t="shared" si="12"/>
        <v>32343.773583749997</v>
      </c>
      <c r="BI28" s="716">
        <f t="shared" si="12"/>
        <v>32343.773583749997</v>
      </c>
      <c r="BJ28" s="716">
        <f t="shared" si="12"/>
        <v>32343.773583749997</v>
      </c>
      <c r="BK28" s="716">
        <f t="shared" si="12"/>
        <v>32343.773583749997</v>
      </c>
      <c r="BL28" s="716">
        <f t="shared" si="12"/>
        <v>32343.773583749997</v>
      </c>
      <c r="BM28" s="716">
        <f t="shared" si="12"/>
        <v>32343.773583749997</v>
      </c>
      <c r="BN28" s="716">
        <f t="shared" si="12"/>
        <v>32343.773583749997</v>
      </c>
      <c r="BO28" s="716">
        <f t="shared" si="12"/>
        <v>32343.773583749997</v>
      </c>
      <c r="BP28" s="716">
        <f t="shared" si="12"/>
        <v>32343.773583749997</v>
      </c>
      <c r="BQ28" s="716">
        <f t="shared" si="12"/>
        <v>32343.773583749997</v>
      </c>
      <c r="BR28" s="716">
        <f t="shared" si="12"/>
        <v>32343.773583749997</v>
      </c>
      <c r="BS28" s="716">
        <f t="shared" si="12"/>
        <v>32343.773583749997</v>
      </c>
      <c r="BT28" s="716">
        <f t="shared" si="12"/>
        <v>32343.773583749997</v>
      </c>
      <c r="BU28" s="716">
        <f t="shared" si="12"/>
        <v>32343.773583749997</v>
      </c>
      <c r="BV28" s="716">
        <f t="shared" si="12"/>
        <v>32343.773583749997</v>
      </c>
      <c r="BW28" s="716">
        <f t="shared" si="12"/>
        <v>32343.773583749997</v>
      </c>
      <c r="BX28" s="716">
        <f t="shared" si="12"/>
        <v>32343.773583749997</v>
      </c>
      <c r="BY28" s="716">
        <f t="shared" si="12"/>
        <v>32343.773583749997</v>
      </c>
      <c r="BZ28" s="716">
        <f t="shared" si="12"/>
        <v>32343.773583749997</v>
      </c>
      <c r="CA28" s="716">
        <f t="shared" si="12"/>
        <v>32343.773583749997</v>
      </c>
      <c r="CB28" s="716">
        <f t="shared" si="12"/>
        <v>32343.773583749997</v>
      </c>
      <c r="CC28" s="716">
        <f t="shared" si="12"/>
        <v>32343.773583749997</v>
      </c>
      <c r="CD28" s="716">
        <f t="shared" si="12"/>
        <v>32343.773583749997</v>
      </c>
      <c r="CE28" s="716">
        <f t="shared" si="12"/>
        <v>32343.773583749997</v>
      </c>
      <c r="CF28" s="716">
        <f t="shared" si="12"/>
        <v>32343.773583749997</v>
      </c>
      <c r="CG28" s="716">
        <f t="shared" si="12"/>
        <v>32343.773583749997</v>
      </c>
      <c r="CH28" s="716">
        <f t="shared" si="12"/>
        <v>32343.773583749997</v>
      </c>
      <c r="CI28" s="716">
        <f t="shared" si="12"/>
        <v>32343.773583749997</v>
      </c>
      <c r="CJ28" s="716">
        <f t="shared" si="12"/>
        <v>32343.773583749997</v>
      </c>
      <c r="CK28" s="716">
        <f t="shared" si="12"/>
        <v>32343.773583749997</v>
      </c>
      <c r="CL28" s="717">
        <f t="shared" si="12"/>
        <v>32343.773583749997</v>
      </c>
      <c r="CM28" s="718">
        <f t="shared" si="0"/>
        <v>32343.773583749953</v>
      </c>
      <c r="CN28" s="245"/>
      <c r="CO28" s="245"/>
      <c r="CP28" s="245"/>
      <c r="CQ28" s="245"/>
      <c r="CR28" s="245"/>
      <c r="CS28" s="245"/>
      <c r="CT28" s="245"/>
      <c r="CU28" s="245"/>
      <c r="CV28" s="245"/>
      <c r="CW28" s="245"/>
      <c r="CX28" s="245"/>
      <c r="CY28" s="245"/>
      <c r="CZ28" s="245"/>
      <c r="DA28" s="245"/>
      <c r="DB28" s="245"/>
      <c r="DC28" s="245"/>
      <c r="DD28" s="245"/>
      <c r="DE28" s="245"/>
      <c r="DF28" s="245"/>
      <c r="DG28" s="245"/>
      <c r="DH28" s="245"/>
      <c r="DI28" s="245"/>
      <c r="DJ28" s="245"/>
      <c r="DK28" s="245"/>
      <c r="DL28" s="245"/>
      <c r="DM28" s="245"/>
      <c r="DN28" s="245"/>
      <c r="DO28" s="245"/>
      <c r="DP28" s="245"/>
      <c r="DQ28" s="245"/>
      <c r="DR28" s="245"/>
      <c r="DS28" s="245"/>
      <c r="DT28" s="245"/>
      <c r="DU28" s="245"/>
      <c r="DV28" s="245"/>
      <c r="DW28" s="245"/>
      <c r="DX28" s="245"/>
      <c r="DY28" s="245"/>
      <c r="DZ28" s="245"/>
      <c r="EA28" s="245"/>
      <c r="EB28" s="245"/>
      <c r="EC28" s="245"/>
      <c r="ED28" s="245"/>
      <c r="EE28" s="245"/>
      <c r="EF28" s="245"/>
      <c r="EG28" s="245"/>
      <c r="EH28" s="245"/>
      <c r="EI28" s="245"/>
      <c r="EJ28" s="245"/>
      <c r="EK28" s="245"/>
      <c r="EL28" s="245"/>
      <c r="EM28" s="245"/>
      <c r="EN28" s="245"/>
      <c r="EO28" s="245"/>
      <c r="EP28" s="245"/>
      <c r="EQ28" s="245"/>
      <c r="ER28" s="245"/>
      <c r="ES28" s="245"/>
      <c r="ET28" s="245"/>
      <c r="EU28" s="245"/>
      <c r="EV28" s="245"/>
      <c r="EW28" s="245"/>
      <c r="EX28" s="245"/>
      <c r="EY28" s="245"/>
      <c r="EZ28" s="245"/>
      <c r="FA28" s="245"/>
      <c r="FB28" s="245"/>
      <c r="FC28" s="245"/>
      <c r="FD28" s="245"/>
      <c r="FE28" s="245"/>
      <c r="FF28" s="245"/>
      <c r="FG28" s="245"/>
      <c r="FH28" s="245"/>
      <c r="FI28" s="245"/>
      <c r="FJ28" s="245"/>
      <c r="FK28" s="245"/>
      <c r="FL28" s="245"/>
      <c r="FM28" s="245"/>
      <c r="FN28" s="245"/>
      <c r="FO28" s="245"/>
      <c r="FP28" s="245"/>
      <c r="FQ28" s="245"/>
      <c r="FR28" s="245"/>
      <c r="FS28" s="245"/>
      <c r="FT28" s="245"/>
      <c r="FU28" s="245"/>
      <c r="FV28" s="245"/>
    </row>
    <row r="29" spans="1:178">
      <c r="A29" s="1025"/>
      <c r="B29" s="639" t="s">
        <v>312</v>
      </c>
      <c r="C29" s="640" t="s">
        <v>313</v>
      </c>
      <c r="D29" s="640">
        <v>0.622</v>
      </c>
      <c r="E29" s="245"/>
      <c r="F29" s="719" t="s">
        <v>175</v>
      </c>
      <c r="G29" s="712">
        <v>29493.166666666664</v>
      </c>
      <c r="H29" s="712">
        <v>29493.166666666664</v>
      </c>
      <c r="I29" s="712">
        <v>29493.166666666664</v>
      </c>
      <c r="J29" s="712">
        <v>29493.166666666664</v>
      </c>
      <c r="K29" s="712">
        <v>29493.166666666664</v>
      </c>
      <c r="L29" s="712">
        <v>29493.166666666664</v>
      </c>
      <c r="M29" s="712">
        <v>29493.166666666664</v>
      </c>
      <c r="N29" s="712">
        <v>29493.166666666664</v>
      </c>
      <c r="O29" s="712">
        <v>29493.166666666664</v>
      </c>
      <c r="P29" s="712">
        <v>29493.166666666664</v>
      </c>
      <c r="Q29" s="712">
        <v>29493.166666666664</v>
      </c>
      <c r="R29" s="712">
        <v>29493.166666666664</v>
      </c>
      <c r="S29" s="712">
        <v>29493.166666666664</v>
      </c>
      <c r="T29" s="712">
        <f t="shared" ref="T29:AS29" si="13">$D$29*T12</f>
        <v>29493.166666666664</v>
      </c>
      <c r="U29" s="712">
        <f t="shared" si="13"/>
        <v>29493.166666666664</v>
      </c>
      <c r="V29" s="712">
        <f t="shared" si="13"/>
        <v>29493.166666666664</v>
      </c>
      <c r="W29" s="712">
        <f t="shared" si="13"/>
        <v>29493.166666666664</v>
      </c>
      <c r="X29" s="712">
        <f t="shared" si="13"/>
        <v>29493.166666666664</v>
      </c>
      <c r="Y29" s="712">
        <f t="shared" si="13"/>
        <v>29493.166666666664</v>
      </c>
      <c r="Z29" s="712">
        <f t="shared" si="13"/>
        <v>29493.166666666664</v>
      </c>
      <c r="AA29" s="712">
        <f t="shared" si="13"/>
        <v>29493.166666666664</v>
      </c>
      <c r="AB29" s="712">
        <f t="shared" si="13"/>
        <v>29493.166666666664</v>
      </c>
      <c r="AC29" s="712">
        <f t="shared" si="13"/>
        <v>29493.166666666664</v>
      </c>
      <c r="AD29" s="712">
        <f t="shared" si="13"/>
        <v>29493.166666666664</v>
      </c>
      <c r="AE29" s="712">
        <f t="shared" si="13"/>
        <v>29493.166666666664</v>
      </c>
      <c r="AF29" s="712">
        <f t="shared" si="13"/>
        <v>29493.166666666664</v>
      </c>
      <c r="AG29" s="712">
        <f t="shared" si="13"/>
        <v>29493.166666666664</v>
      </c>
      <c r="AH29" s="712">
        <f t="shared" si="13"/>
        <v>29493.166666666664</v>
      </c>
      <c r="AI29" s="712">
        <f t="shared" si="13"/>
        <v>29493.166666666664</v>
      </c>
      <c r="AJ29" s="712">
        <f t="shared" si="13"/>
        <v>29493.166666666664</v>
      </c>
      <c r="AK29" s="712">
        <f t="shared" si="13"/>
        <v>29493.166666666664</v>
      </c>
      <c r="AL29" s="712">
        <f t="shared" si="13"/>
        <v>29493.166666666664</v>
      </c>
      <c r="AM29" s="712">
        <f t="shared" si="13"/>
        <v>29493.166666666664</v>
      </c>
      <c r="AN29" s="712">
        <f t="shared" si="13"/>
        <v>29493.166666666664</v>
      </c>
      <c r="AO29" s="712">
        <f t="shared" si="13"/>
        <v>29493.166666666664</v>
      </c>
      <c r="AP29" s="712">
        <f t="shared" si="13"/>
        <v>29493.166666666664</v>
      </c>
      <c r="AQ29" s="712">
        <f t="shared" si="13"/>
        <v>29493.166666666664</v>
      </c>
      <c r="AR29" s="712">
        <f t="shared" si="13"/>
        <v>29493.166666666664</v>
      </c>
      <c r="AS29" s="712">
        <f t="shared" si="13"/>
        <v>29493.166666666664</v>
      </c>
      <c r="AT29" s="712">
        <f>$D$29*AT12</f>
        <v>29493.166666666664</v>
      </c>
      <c r="AU29" s="711">
        <f t="shared" ref="AU29:CL29" si="14">$D$29*AU12</f>
        <v>29493.166666666664</v>
      </c>
      <c r="AV29" s="711">
        <f t="shared" si="14"/>
        <v>29493.166666666664</v>
      </c>
      <c r="AW29" s="711">
        <f t="shared" si="14"/>
        <v>29493.166666666664</v>
      </c>
      <c r="AX29" s="711">
        <f t="shared" si="14"/>
        <v>29493.166666666664</v>
      </c>
      <c r="AY29" s="711">
        <f t="shared" si="14"/>
        <v>29493.166666666664</v>
      </c>
      <c r="AZ29" s="711">
        <f t="shared" si="14"/>
        <v>29493.166666666664</v>
      </c>
      <c r="BA29" s="711">
        <f t="shared" si="14"/>
        <v>29493.166666666664</v>
      </c>
      <c r="BB29" s="711">
        <f t="shared" si="14"/>
        <v>29493.166666666664</v>
      </c>
      <c r="BC29" s="711">
        <f t="shared" si="14"/>
        <v>29493.166666666664</v>
      </c>
      <c r="BD29" s="711">
        <f t="shared" si="14"/>
        <v>29493.166666666664</v>
      </c>
      <c r="BE29" s="711">
        <f t="shared" si="14"/>
        <v>29493.166666666664</v>
      </c>
      <c r="BF29" s="711">
        <f t="shared" si="14"/>
        <v>29493.166666666664</v>
      </c>
      <c r="BG29" s="711">
        <f t="shared" si="14"/>
        <v>29493.166666666664</v>
      </c>
      <c r="BH29" s="711">
        <f t="shared" si="14"/>
        <v>29493.166666666664</v>
      </c>
      <c r="BI29" s="711">
        <f t="shared" si="14"/>
        <v>29493.166666666664</v>
      </c>
      <c r="BJ29" s="711">
        <f t="shared" si="14"/>
        <v>29493.166666666664</v>
      </c>
      <c r="BK29" s="711">
        <f t="shared" si="14"/>
        <v>29493.166666666664</v>
      </c>
      <c r="BL29" s="711">
        <f t="shared" si="14"/>
        <v>29493.166666666664</v>
      </c>
      <c r="BM29" s="711">
        <f t="shared" si="14"/>
        <v>29493.166666666664</v>
      </c>
      <c r="BN29" s="711">
        <f t="shared" si="14"/>
        <v>29493.166666666664</v>
      </c>
      <c r="BO29" s="711">
        <f t="shared" si="14"/>
        <v>29493.166666666664</v>
      </c>
      <c r="BP29" s="711">
        <f t="shared" si="14"/>
        <v>29493.166666666664</v>
      </c>
      <c r="BQ29" s="711">
        <f t="shared" si="14"/>
        <v>29493.166666666664</v>
      </c>
      <c r="BR29" s="711">
        <f t="shared" si="14"/>
        <v>29493.166666666664</v>
      </c>
      <c r="BS29" s="711">
        <f t="shared" si="14"/>
        <v>29493.166666666664</v>
      </c>
      <c r="BT29" s="711">
        <f t="shared" si="14"/>
        <v>29493.166666666664</v>
      </c>
      <c r="BU29" s="711">
        <f t="shared" si="14"/>
        <v>29493.166666666664</v>
      </c>
      <c r="BV29" s="711">
        <f t="shared" si="14"/>
        <v>29493.166666666664</v>
      </c>
      <c r="BW29" s="711">
        <f t="shared" si="14"/>
        <v>29493.166666666664</v>
      </c>
      <c r="BX29" s="711">
        <f t="shared" si="14"/>
        <v>29493.166666666664</v>
      </c>
      <c r="BY29" s="711">
        <f t="shared" si="14"/>
        <v>29493.166666666664</v>
      </c>
      <c r="BZ29" s="711">
        <f t="shared" si="14"/>
        <v>29493.166666666664</v>
      </c>
      <c r="CA29" s="711">
        <f t="shared" si="14"/>
        <v>29493.166666666664</v>
      </c>
      <c r="CB29" s="711">
        <f t="shared" si="14"/>
        <v>29493.166666666664</v>
      </c>
      <c r="CC29" s="711">
        <f t="shared" si="14"/>
        <v>29493.166666666664</v>
      </c>
      <c r="CD29" s="711">
        <f t="shared" si="14"/>
        <v>29493.166666666664</v>
      </c>
      <c r="CE29" s="711">
        <f t="shared" si="14"/>
        <v>29493.166666666664</v>
      </c>
      <c r="CF29" s="711">
        <f t="shared" si="14"/>
        <v>29493.166666666664</v>
      </c>
      <c r="CG29" s="711">
        <f t="shared" si="14"/>
        <v>29493.166666666664</v>
      </c>
      <c r="CH29" s="711">
        <f t="shared" si="14"/>
        <v>29493.166666666664</v>
      </c>
      <c r="CI29" s="711">
        <f t="shared" si="14"/>
        <v>29493.166666666664</v>
      </c>
      <c r="CJ29" s="711">
        <f t="shared" si="14"/>
        <v>29493.166666666664</v>
      </c>
      <c r="CK29" s="711">
        <f t="shared" si="14"/>
        <v>29493.166666666664</v>
      </c>
      <c r="CL29" s="713">
        <f t="shared" si="14"/>
        <v>29493.166666666664</v>
      </c>
      <c r="CM29" s="642">
        <f t="shared" si="0"/>
        <v>29493.166666666672</v>
      </c>
      <c r="CN29" s="245"/>
      <c r="CO29" s="245"/>
      <c r="CP29" s="245"/>
      <c r="CQ29" s="245"/>
      <c r="CR29" s="245"/>
      <c r="CS29" s="245"/>
      <c r="CT29" s="245"/>
      <c r="CU29" s="245"/>
      <c r="CV29" s="245"/>
      <c r="CW29" s="245"/>
      <c r="CX29" s="245"/>
      <c r="CY29" s="245"/>
      <c r="CZ29" s="245"/>
      <c r="DA29" s="245"/>
      <c r="DB29" s="245"/>
      <c r="DC29" s="245"/>
      <c r="DD29" s="245"/>
      <c r="DE29" s="245"/>
      <c r="DF29" s="245"/>
      <c r="DG29" s="245"/>
      <c r="DH29" s="245"/>
      <c r="DI29" s="245"/>
      <c r="DJ29" s="245"/>
      <c r="DK29" s="245"/>
      <c r="DL29" s="245"/>
      <c r="DM29" s="245"/>
      <c r="DN29" s="245"/>
      <c r="DO29" s="245"/>
      <c r="DP29" s="245"/>
      <c r="DQ29" s="245"/>
      <c r="DR29" s="245"/>
      <c r="DS29" s="245"/>
      <c r="DT29" s="245"/>
      <c r="DU29" s="245"/>
      <c r="DV29" s="245"/>
      <c r="DW29" s="245"/>
      <c r="DX29" s="245"/>
      <c r="DY29" s="245"/>
      <c r="DZ29" s="245"/>
      <c r="EA29" s="245"/>
      <c r="EB29" s="245"/>
      <c r="EC29" s="245"/>
      <c r="ED29" s="245"/>
      <c r="EE29" s="245"/>
      <c r="EF29" s="245"/>
      <c r="EG29" s="245"/>
      <c r="EH29" s="245"/>
      <c r="EI29" s="245"/>
      <c r="EJ29" s="245"/>
      <c r="EK29" s="245"/>
      <c r="EL29" s="245"/>
      <c r="EM29" s="245"/>
      <c r="EN29" s="245"/>
      <c r="EO29" s="245"/>
      <c r="EP29" s="245"/>
      <c r="EQ29" s="245"/>
      <c r="ER29" s="245"/>
      <c r="ES29" s="245"/>
      <c r="ET29" s="245"/>
      <c r="EU29" s="245"/>
      <c r="EV29" s="245"/>
      <c r="EW29" s="245"/>
      <c r="EX29" s="245"/>
      <c r="EY29" s="245"/>
      <c r="EZ29" s="245"/>
      <c r="FA29" s="245"/>
      <c r="FB29" s="245"/>
      <c r="FC29" s="245"/>
      <c r="FD29" s="245"/>
      <c r="FE29" s="245"/>
      <c r="FF29" s="245"/>
      <c r="FG29" s="245"/>
      <c r="FH29" s="245"/>
      <c r="FI29" s="245"/>
      <c r="FJ29" s="245"/>
      <c r="FK29" s="245"/>
      <c r="FL29" s="245"/>
      <c r="FM29" s="245"/>
      <c r="FN29" s="245"/>
      <c r="FO29" s="245"/>
      <c r="FP29" s="245"/>
      <c r="FQ29" s="245"/>
      <c r="FR29" s="245"/>
      <c r="FS29" s="245"/>
      <c r="FT29" s="245"/>
      <c r="FU29" s="245"/>
      <c r="FV29" s="245"/>
    </row>
    <row r="30" spans="1:178">
      <c r="A30" s="1025"/>
      <c r="B30" s="639" t="s">
        <v>312</v>
      </c>
      <c r="C30" s="640" t="s">
        <v>313</v>
      </c>
      <c r="D30" s="640">
        <v>1.4999999999999999E-2</v>
      </c>
      <c r="E30" s="245"/>
      <c r="F30" s="719" t="s">
        <v>176</v>
      </c>
      <c r="G30" s="712">
        <v>871.25</v>
      </c>
      <c r="H30" s="712">
        <v>871.25</v>
      </c>
      <c r="I30" s="712">
        <v>871.25</v>
      </c>
      <c r="J30" s="712">
        <v>871.25</v>
      </c>
      <c r="K30" s="712">
        <v>871.25</v>
      </c>
      <c r="L30" s="712">
        <v>871.25</v>
      </c>
      <c r="M30" s="712">
        <v>871.25</v>
      </c>
      <c r="N30" s="712">
        <v>871.25</v>
      </c>
      <c r="O30" s="712">
        <v>871.25</v>
      </c>
      <c r="P30" s="712">
        <v>871.25</v>
      </c>
      <c r="Q30" s="712">
        <v>871.25</v>
      </c>
      <c r="R30" s="712">
        <v>871.25</v>
      </c>
      <c r="S30" s="712">
        <v>871.25</v>
      </c>
      <c r="T30" s="712">
        <f t="shared" ref="T30:AS30" si="15">$D$30*T13</f>
        <v>871.25</v>
      </c>
      <c r="U30" s="712">
        <f t="shared" si="15"/>
        <v>871.25</v>
      </c>
      <c r="V30" s="712">
        <f t="shared" si="15"/>
        <v>871.25</v>
      </c>
      <c r="W30" s="712">
        <f t="shared" si="15"/>
        <v>871.25</v>
      </c>
      <c r="X30" s="712">
        <f t="shared" si="15"/>
        <v>871.25</v>
      </c>
      <c r="Y30" s="712">
        <f t="shared" si="15"/>
        <v>871.25</v>
      </c>
      <c r="Z30" s="712">
        <f t="shared" si="15"/>
        <v>871.25</v>
      </c>
      <c r="AA30" s="712">
        <f t="shared" si="15"/>
        <v>871.25</v>
      </c>
      <c r="AB30" s="712">
        <f t="shared" si="15"/>
        <v>871.25</v>
      </c>
      <c r="AC30" s="712">
        <f t="shared" si="15"/>
        <v>871.25</v>
      </c>
      <c r="AD30" s="712">
        <f t="shared" si="15"/>
        <v>871.25</v>
      </c>
      <c r="AE30" s="712">
        <f t="shared" si="15"/>
        <v>871.25</v>
      </c>
      <c r="AF30" s="712">
        <f t="shared" si="15"/>
        <v>871.25</v>
      </c>
      <c r="AG30" s="712">
        <f t="shared" si="15"/>
        <v>871.25</v>
      </c>
      <c r="AH30" s="712">
        <f t="shared" si="15"/>
        <v>871.25</v>
      </c>
      <c r="AI30" s="712">
        <f t="shared" si="15"/>
        <v>871.25</v>
      </c>
      <c r="AJ30" s="712">
        <f t="shared" si="15"/>
        <v>871.25</v>
      </c>
      <c r="AK30" s="712">
        <f t="shared" si="15"/>
        <v>871.25</v>
      </c>
      <c r="AL30" s="712">
        <f t="shared" si="15"/>
        <v>871.25</v>
      </c>
      <c r="AM30" s="712">
        <f t="shared" si="15"/>
        <v>871.25</v>
      </c>
      <c r="AN30" s="712">
        <f t="shared" si="15"/>
        <v>871.25</v>
      </c>
      <c r="AO30" s="712">
        <f t="shared" si="15"/>
        <v>871.25</v>
      </c>
      <c r="AP30" s="712">
        <f t="shared" si="15"/>
        <v>871.25</v>
      </c>
      <c r="AQ30" s="712">
        <f t="shared" si="15"/>
        <v>871.25</v>
      </c>
      <c r="AR30" s="712">
        <f t="shared" si="15"/>
        <v>871.25</v>
      </c>
      <c r="AS30" s="712">
        <f t="shared" si="15"/>
        <v>871.25</v>
      </c>
      <c r="AT30" s="712">
        <f>$D$30*AT13</f>
        <v>871.25</v>
      </c>
      <c r="AU30" s="711">
        <f t="shared" ref="AU30:CL30" si="16">$D$30*AU13</f>
        <v>871.25</v>
      </c>
      <c r="AV30" s="711">
        <f t="shared" si="16"/>
        <v>871.25</v>
      </c>
      <c r="AW30" s="711">
        <f t="shared" si="16"/>
        <v>871.25</v>
      </c>
      <c r="AX30" s="711">
        <f t="shared" si="16"/>
        <v>871.25</v>
      </c>
      <c r="AY30" s="711">
        <f t="shared" si="16"/>
        <v>871.25</v>
      </c>
      <c r="AZ30" s="711">
        <f t="shared" si="16"/>
        <v>871.25</v>
      </c>
      <c r="BA30" s="711">
        <f t="shared" si="16"/>
        <v>871.25</v>
      </c>
      <c r="BB30" s="711">
        <f t="shared" si="16"/>
        <v>871.25</v>
      </c>
      <c r="BC30" s="711">
        <f t="shared" si="16"/>
        <v>871.25</v>
      </c>
      <c r="BD30" s="711">
        <f t="shared" si="16"/>
        <v>871.25</v>
      </c>
      <c r="BE30" s="711">
        <f t="shared" si="16"/>
        <v>871.25</v>
      </c>
      <c r="BF30" s="711">
        <f t="shared" si="16"/>
        <v>871.25</v>
      </c>
      <c r="BG30" s="711">
        <f t="shared" si="16"/>
        <v>871.25</v>
      </c>
      <c r="BH30" s="711">
        <f t="shared" si="16"/>
        <v>871.25</v>
      </c>
      <c r="BI30" s="711">
        <f t="shared" si="16"/>
        <v>871.25</v>
      </c>
      <c r="BJ30" s="711">
        <f t="shared" si="16"/>
        <v>871.25</v>
      </c>
      <c r="BK30" s="711">
        <f t="shared" si="16"/>
        <v>871.25</v>
      </c>
      <c r="BL30" s="711">
        <f t="shared" si="16"/>
        <v>871.25</v>
      </c>
      <c r="BM30" s="711">
        <f t="shared" si="16"/>
        <v>871.25</v>
      </c>
      <c r="BN30" s="711">
        <f t="shared" si="16"/>
        <v>871.25</v>
      </c>
      <c r="BO30" s="711">
        <f t="shared" si="16"/>
        <v>871.25</v>
      </c>
      <c r="BP30" s="711">
        <f t="shared" si="16"/>
        <v>871.25</v>
      </c>
      <c r="BQ30" s="711">
        <f t="shared" si="16"/>
        <v>871.25</v>
      </c>
      <c r="BR30" s="711">
        <f t="shared" si="16"/>
        <v>871.25</v>
      </c>
      <c r="BS30" s="711">
        <f t="shared" si="16"/>
        <v>871.25</v>
      </c>
      <c r="BT30" s="711">
        <f t="shared" si="16"/>
        <v>871.25</v>
      </c>
      <c r="BU30" s="711">
        <f t="shared" si="16"/>
        <v>871.25</v>
      </c>
      <c r="BV30" s="711">
        <f t="shared" si="16"/>
        <v>871.25</v>
      </c>
      <c r="BW30" s="711">
        <f t="shared" si="16"/>
        <v>871.25</v>
      </c>
      <c r="BX30" s="711">
        <f t="shared" si="16"/>
        <v>871.25</v>
      </c>
      <c r="BY30" s="711">
        <f t="shared" si="16"/>
        <v>871.25</v>
      </c>
      <c r="BZ30" s="711">
        <f t="shared" si="16"/>
        <v>871.25</v>
      </c>
      <c r="CA30" s="711">
        <f t="shared" si="16"/>
        <v>871.25</v>
      </c>
      <c r="CB30" s="711">
        <f t="shared" si="16"/>
        <v>871.25</v>
      </c>
      <c r="CC30" s="711">
        <f t="shared" si="16"/>
        <v>871.25</v>
      </c>
      <c r="CD30" s="711">
        <f t="shared" si="16"/>
        <v>871.25</v>
      </c>
      <c r="CE30" s="711">
        <f t="shared" si="16"/>
        <v>871.25</v>
      </c>
      <c r="CF30" s="711">
        <f t="shared" si="16"/>
        <v>871.25</v>
      </c>
      <c r="CG30" s="711">
        <f t="shared" si="16"/>
        <v>871.25</v>
      </c>
      <c r="CH30" s="711">
        <f t="shared" si="16"/>
        <v>871.25</v>
      </c>
      <c r="CI30" s="711">
        <f t="shared" si="16"/>
        <v>871.25</v>
      </c>
      <c r="CJ30" s="711">
        <f t="shared" si="16"/>
        <v>871.25</v>
      </c>
      <c r="CK30" s="711">
        <f t="shared" si="16"/>
        <v>871.25</v>
      </c>
      <c r="CL30" s="713">
        <f t="shared" si="16"/>
        <v>871.25</v>
      </c>
      <c r="CM30" s="642">
        <f t="shared" si="0"/>
        <v>871.25</v>
      </c>
      <c r="CN30" s="245"/>
      <c r="CO30" s="245"/>
      <c r="CP30" s="245"/>
      <c r="CQ30" s="245"/>
      <c r="CR30" s="245"/>
      <c r="CS30" s="245"/>
      <c r="CT30" s="245"/>
      <c r="CU30" s="245"/>
      <c r="CV30" s="245"/>
      <c r="CW30" s="245"/>
      <c r="CX30" s="245"/>
      <c r="CY30" s="245"/>
      <c r="CZ30" s="245"/>
      <c r="DA30" s="245"/>
      <c r="DB30" s="245"/>
      <c r="DC30" s="245"/>
      <c r="DD30" s="245"/>
      <c r="DE30" s="245"/>
      <c r="DF30" s="245"/>
      <c r="DG30" s="245"/>
      <c r="DH30" s="245"/>
      <c r="DI30" s="245"/>
      <c r="DJ30" s="245"/>
      <c r="DK30" s="245"/>
      <c r="DL30" s="245"/>
      <c r="DM30" s="245"/>
      <c r="DN30" s="245"/>
      <c r="DO30" s="245"/>
      <c r="DP30" s="245"/>
      <c r="DQ30" s="245"/>
      <c r="DR30" s="245"/>
      <c r="DS30" s="245"/>
      <c r="DT30" s="245"/>
      <c r="DU30" s="245"/>
      <c r="DV30" s="245"/>
      <c r="DW30" s="245"/>
      <c r="DX30" s="245"/>
      <c r="DY30" s="245"/>
      <c r="DZ30" s="245"/>
      <c r="EA30" s="245"/>
      <c r="EB30" s="245"/>
      <c r="EC30" s="245"/>
      <c r="ED30" s="245"/>
      <c r="EE30" s="245"/>
      <c r="EF30" s="245"/>
      <c r="EG30" s="245"/>
      <c r="EH30" s="245"/>
      <c r="EI30" s="245"/>
      <c r="EJ30" s="245"/>
      <c r="EK30" s="245"/>
      <c r="EL30" s="245"/>
      <c r="EM30" s="245"/>
      <c r="EN30" s="245"/>
      <c r="EO30" s="245"/>
      <c r="EP30" s="245"/>
      <c r="EQ30" s="245"/>
      <c r="ER30" s="245"/>
      <c r="ES30" s="245"/>
      <c r="ET30" s="245"/>
      <c r="EU30" s="245"/>
      <c r="EV30" s="245"/>
      <c r="EW30" s="245"/>
      <c r="EX30" s="245"/>
      <c r="EY30" s="245"/>
      <c r="EZ30" s="245"/>
      <c r="FA30" s="245"/>
      <c r="FB30" s="245"/>
      <c r="FC30" s="245"/>
      <c r="FD30" s="245"/>
      <c r="FE30" s="245"/>
      <c r="FF30" s="245"/>
      <c r="FG30" s="245"/>
      <c r="FH30" s="245"/>
      <c r="FI30" s="245"/>
      <c r="FJ30" s="245"/>
      <c r="FK30" s="245"/>
      <c r="FL30" s="245"/>
      <c r="FM30" s="245"/>
      <c r="FN30" s="245"/>
      <c r="FO30" s="245"/>
      <c r="FP30" s="245"/>
      <c r="FQ30" s="245"/>
      <c r="FR30" s="245"/>
      <c r="FS30" s="245"/>
      <c r="FT30" s="245"/>
      <c r="FU30" s="245"/>
      <c r="FV30" s="245"/>
    </row>
    <row r="31" spans="1:178">
      <c r="A31" s="1025"/>
      <c r="B31" s="639" t="s">
        <v>312</v>
      </c>
      <c r="C31" s="640" t="s">
        <v>313</v>
      </c>
      <c r="D31" s="640">
        <v>1.9E-2</v>
      </c>
      <c r="E31" s="245"/>
      <c r="F31" s="719" t="s">
        <v>177</v>
      </c>
      <c r="G31" s="712">
        <v>215.33333333333334</v>
      </c>
      <c r="H31" s="712">
        <v>215.33333333333334</v>
      </c>
      <c r="I31" s="712">
        <v>215.33333333333334</v>
      </c>
      <c r="J31" s="712">
        <v>215.33333333333334</v>
      </c>
      <c r="K31" s="712">
        <v>215.33333333333334</v>
      </c>
      <c r="L31" s="712">
        <v>215.33333333333334</v>
      </c>
      <c r="M31" s="712">
        <v>215.33333333333334</v>
      </c>
      <c r="N31" s="712">
        <v>215.33333333333334</v>
      </c>
      <c r="O31" s="712">
        <v>215.33333333333334</v>
      </c>
      <c r="P31" s="712">
        <v>215.33333333333334</v>
      </c>
      <c r="Q31" s="712">
        <v>215.33333333333334</v>
      </c>
      <c r="R31" s="712">
        <v>215.33333333333334</v>
      </c>
      <c r="S31" s="712">
        <v>215.33333333333334</v>
      </c>
      <c r="T31" s="712">
        <f t="shared" ref="T31:AS31" si="17">$D$31*T14</f>
        <v>215.33333333333334</v>
      </c>
      <c r="U31" s="712">
        <f t="shared" si="17"/>
        <v>215.33333333333334</v>
      </c>
      <c r="V31" s="712">
        <f t="shared" si="17"/>
        <v>215.33333333333334</v>
      </c>
      <c r="W31" s="712">
        <f t="shared" si="17"/>
        <v>215.33333333333334</v>
      </c>
      <c r="X31" s="712">
        <f t="shared" si="17"/>
        <v>215.33333333333334</v>
      </c>
      <c r="Y31" s="712">
        <f t="shared" si="17"/>
        <v>215.33333333333334</v>
      </c>
      <c r="Z31" s="712">
        <f t="shared" si="17"/>
        <v>215.33333333333334</v>
      </c>
      <c r="AA31" s="712">
        <f t="shared" si="17"/>
        <v>215.33333333333334</v>
      </c>
      <c r="AB31" s="712">
        <f t="shared" si="17"/>
        <v>215.33333333333334</v>
      </c>
      <c r="AC31" s="712">
        <f t="shared" si="17"/>
        <v>215.33333333333334</v>
      </c>
      <c r="AD31" s="712">
        <f t="shared" si="17"/>
        <v>215.33333333333334</v>
      </c>
      <c r="AE31" s="712">
        <f t="shared" si="17"/>
        <v>215.33333333333334</v>
      </c>
      <c r="AF31" s="712">
        <f t="shared" si="17"/>
        <v>215.33333333333334</v>
      </c>
      <c r="AG31" s="712">
        <f t="shared" si="17"/>
        <v>215.33333333333334</v>
      </c>
      <c r="AH31" s="712">
        <f t="shared" si="17"/>
        <v>215.33333333333334</v>
      </c>
      <c r="AI31" s="712">
        <f t="shared" si="17"/>
        <v>215.33333333333334</v>
      </c>
      <c r="AJ31" s="712">
        <f t="shared" si="17"/>
        <v>215.33333333333334</v>
      </c>
      <c r="AK31" s="712">
        <f t="shared" si="17"/>
        <v>215.33333333333334</v>
      </c>
      <c r="AL31" s="712">
        <f t="shared" si="17"/>
        <v>215.33333333333334</v>
      </c>
      <c r="AM31" s="712">
        <f t="shared" si="17"/>
        <v>215.33333333333334</v>
      </c>
      <c r="AN31" s="712">
        <f t="shared" si="17"/>
        <v>215.33333333333334</v>
      </c>
      <c r="AO31" s="712">
        <f t="shared" si="17"/>
        <v>215.33333333333334</v>
      </c>
      <c r="AP31" s="712">
        <f t="shared" si="17"/>
        <v>215.33333333333334</v>
      </c>
      <c r="AQ31" s="712">
        <f t="shared" si="17"/>
        <v>215.33333333333334</v>
      </c>
      <c r="AR31" s="712">
        <f t="shared" si="17"/>
        <v>215.33333333333334</v>
      </c>
      <c r="AS31" s="712">
        <f t="shared" si="17"/>
        <v>215.33333333333334</v>
      </c>
      <c r="AT31" s="712">
        <f>$D$31*AT14</f>
        <v>215.33333333333334</v>
      </c>
      <c r="AU31" s="711">
        <f t="shared" ref="AU31:CL31" si="18">$D$31*AU14</f>
        <v>215.33333333333334</v>
      </c>
      <c r="AV31" s="711">
        <f t="shared" si="18"/>
        <v>215.33333333333334</v>
      </c>
      <c r="AW31" s="711">
        <f t="shared" si="18"/>
        <v>215.33333333333334</v>
      </c>
      <c r="AX31" s="711">
        <f t="shared" si="18"/>
        <v>215.33333333333334</v>
      </c>
      <c r="AY31" s="711">
        <f t="shared" si="18"/>
        <v>215.33333333333334</v>
      </c>
      <c r="AZ31" s="711">
        <f t="shared" si="18"/>
        <v>215.33333333333334</v>
      </c>
      <c r="BA31" s="711">
        <f t="shared" si="18"/>
        <v>215.33333333333334</v>
      </c>
      <c r="BB31" s="711">
        <f t="shared" si="18"/>
        <v>215.33333333333334</v>
      </c>
      <c r="BC31" s="711">
        <f t="shared" si="18"/>
        <v>215.33333333333334</v>
      </c>
      <c r="BD31" s="711">
        <f t="shared" si="18"/>
        <v>215.33333333333334</v>
      </c>
      <c r="BE31" s="711">
        <f t="shared" si="18"/>
        <v>215.33333333333334</v>
      </c>
      <c r="BF31" s="711">
        <f t="shared" si="18"/>
        <v>215.33333333333334</v>
      </c>
      <c r="BG31" s="711">
        <f t="shared" si="18"/>
        <v>215.33333333333334</v>
      </c>
      <c r="BH31" s="711">
        <f t="shared" si="18"/>
        <v>215.33333333333334</v>
      </c>
      <c r="BI31" s="711">
        <f t="shared" si="18"/>
        <v>215.33333333333334</v>
      </c>
      <c r="BJ31" s="711">
        <f t="shared" si="18"/>
        <v>215.33333333333334</v>
      </c>
      <c r="BK31" s="711">
        <f t="shared" si="18"/>
        <v>215.33333333333334</v>
      </c>
      <c r="BL31" s="711">
        <f t="shared" si="18"/>
        <v>215.33333333333334</v>
      </c>
      <c r="BM31" s="711">
        <f t="shared" si="18"/>
        <v>215.33333333333334</v>
      </c>
      <c r="BN31" s="711">
        <f t="shared" si="18"/>
        <v>215.33333333333334</v>
      </c>
      <c r="BO31" s="711">
        <f t="shared" si="18"/>
        <v>215.33333333333334</v>
      </c>
      <c r="BP31" s="711">
        <f t="shared" si="18"/>
        <v>215.33333333333334</v>
      </c>
      <c r="BQ31" s="711">
        <f t="shared" si="18"/>
        <v>215.33333333333334</v>
      </c>
      <c r="BR31" s="711">
        <f t="shared" si="18"/>
        <v>215.33333333333334</v>
      </c>
      <c r="BS31" s="711">
        <f t="shared" si="18"/>
        <v>215.33333333333334</v>
      </c>
      <c r="BT31" s="711">
        <f t="shared" si="18"/>
        <v>215.33333333333334</v>
      </c>
      <c r="BU31" s="711">
        <f t="shared" si="18"/>
        <v>215.33333333333334</v>
      </c>
      <c r="BV31" s="711">
        <f t="shared" si="18"/>
        <v>215.33333333333334</v>
      </c>
      <c r="BW31" s="711">
        <f t="shared" si="18"/>
        <v>215.33333333333334</v>
      </c>
      <c r="BX31" s="711">
        <f t="shared" si="18"/>
        <v>215.33333333333334</v>
      </c>
      <c r="BY31" s="711">
        <f t="shared" si="18"/>
        <v>215.33333333333334</v>
      </c>
      <c r="BZ31" s="711">
        <f t="shared" si="18"/>
        <v>215.33333333333334</v>
      </c>
      <c r="CA31" s="711">
        <f t="shared" si="18"/>
        <v>215.33333333333334</v>
      </c>
      <c r="CB31" s="711">
        <f t="shared" si="18"/>
        <v>215.33333333333334</v>
      </c>
      <c r="CC31" s="711">
        <f t="shared" si="18"/>
        <v>215.33333333333334</v>
      </c>
      <c r="CD31" s="711">
        <f t="shared" si="18"/>
        <v>215.33333333333334</v>
      </c>
      <c r="CE31" s="711">
        <f t="shared" si="18"/>
        <v>215.33333333333334</v>
      </c>
      <c r="CF31" s="711">
        <f t="shared" si="18"/>
        <v>215.33333333333334</v>
      </c>
      <c r="CG31" s="711">
        <f t="shared" si="18"/>
        <v>215.33333333333334</v>
      </c>
      <c r="CH31" s="711">
        <f t="shared" si="18"/>
        <v>215.33333333333334</v>
      </c>
      <c r="CI31" s="711">
        <f t="shared" si="18"/>
        <v>215.33333333333334</v>
      </c>
      <c r="CJ31" s="711">
        <f t="shared" si="18"/>
        <v>215.33333333333334</v>
      </c>
      <c r="CK31" s="711">
        <f t="shared" si="18"/>
        <v>215.33333333333334</v>
      </c>
      <c r="CL31" s="713">
        <f t="shared" si="18"/>
        <v>215.33333333333334</v>
      </c>
      <c r="CM31" s="642">
        <f t="shared" si="0"/>
        <v>215.33333333333346</v>
      </c>
      <c r="CN31" s="245"/>
      <c r="CO31" s="245"/>
      <c r="CP31" s="245"/>
      <c r="CQ31" s="245"/>
      <c r="CR31" s="245"/>
      <c r="CS31" s="245"/>
      <c r="CT31" s="245"/>
      <c r="CU31" s="245"/>
      <c r="CV31" s="245"/>
      <c r="CW31" s="245"/>
      <c r="CX31" s="245"/>
      <c r="CY31" s="245"/>
      <c r="CZ31" s="245"/>
      <c r="DA31" s="245"/>
      <c r="DB31" s="245"/>
      <c r="DC31" s="245"/>
      <c r="DD31" s="245"/>
      <c r="DE31" s="245"/>
      <c r="DF31" s="245"/>
      <c r="DG31" s="245"/>
      <c r="DH31" s="245"/>
      <c r="DI31" s="245"/>
      <c r="DJ31" s="245"/>
      <c r="DK31" s="245"/>
      <c r="DL31" s="245"/>
      <c r="DM31" s="245"/>
      <c r="DN31" s="245"/>
      <c r="DO31" s="245"/>
      <c r="DP31" s="245"/>
      <c r="DQ31" s="245"/>
      <c r="DR31" s="245"/>
      <c r="DS31" s="245"/>
      <c r="DT31" s="245"/>
      <c r="DU31" s="245"/>
      <c r="DV31" s="245"/>
      <c r="DW31" s="245"/>
      <c r="DX31" s="245"/>
      <c r="DY31" s="245"/>
      <c r="DZ31" s="245"/>
      <c r="EA31" s="245"/>
      <c r="EB31" s="245"/>
      <c r="EC31" s="245"/>
      <c r="ED31" s="245"/>
      <c r="EE31" s="245"/>
      <c r="EF31" s="245"/>
      <c r="EG31" s="245"/>
      <c r="EH31" s="245"/>
      <c r="EI31" s="245"/>
      <c r="EJ31" s="245"/>
      <c r="EK31" s="245"/>
      <c r="EL31" s="245"/>
      <c r="EM31" s="245"/>
      <c r="EN31" s="245"/>
      <c r="EO31" s="245"/>
      <c r="EP31" s="245"/>
      <c r="EQ31" s="245"/>
      <c r="ER31" s="245"/>
      <c r="ES31" s="245"/>
      <c r="ET31" s="245"/>
      <c r="EU31" s="245"/>
      <c r="EV31" s="245"/>
      <c r="EW31" s="245"/>
      <c r="EX31" s="245"/>
      <c r="EY31" s="245"/>
      <c r="EZ31" s="245"/>
      <c r="FA31" s="245"/>
      <c r="FB31" s="245"/>
      <c r="FC31" s="245"/>
      <c r="FD31" s="245"/>
      <c r="FE31" s="245"/>
      <c r="FF31" s="245"/>
      <c r="FG31" s="245"/>
      <c r="FH31" s="245"/>
      <c r="FI31" s="245"/>
      <c r="FJ31" s="245"/>
      <c r="FK31" s="245"/>
      <c r="FL31" s="245"/>
      <c r="FM31" s="245"/>
      <c r="FN31" s="245"/>
      <c r="FO31" s="245"/>
      <c r="FP31" s="245"/>
      <c r="FQ31" s="245"/>
      <c r="FR31" s="245"/>
      <c r="FS31" s="245"/>
      <c r="FT31" s="245"/>
      <c r="FU31" s="245"/>
      <c r="FV31" s="245"/>
    </row>
    <row r="32" spans="1:178">
      <c r="A32" s="1025"/>
      <c r="B32" s="639" t="s">
        <v>312</v>
      </c>
      <c r="C32" s="640" t="s">
        <v>313</v>
      </c>
      <c r="D32" s="640">
        <v>1.1900000000000001E-2</v>
      </c>
      <c r="E32" s="245"/>
      <c r="F32" s="719" t="s">
        <v>178</v>
      </c>
      <c r="G32" s="712">
        <v>1597.575</v>
      </c>
      <c r="H32" s="712">
        <v>1597.575</v>
      </c>
      <c r="I32" s="712">
        <v>1597.575</v>
      </c>
      <c r="J32" s="712">
        <v>1597.575</v>
      </c>
      <c r="K32" s="712">
        <v>1597.575</v>
      </c>
      <c r="L32" s="712">
        <v>1597.575</v>
      </c>
      <c r="M32" s="712">
        <v>1597.575</v>
      </c>
      <c r="N32" s="712">
        <v>1597.575</v>
      </c>
      <c r="O32" s="712">
        <v>1597.575</v>
      </c>
      <c r="P32" s="712">
        <v>1597.575</v>
      </c>
      <c r="Q32" s="712">
        <v>1597.575</v>
      </c>
      <c r="R32" s="712">
        <v>1597.575</v>
      </c>
      <c r="S32" s="712">
        <v>1597.575</v>
      </c>
      <c r="T32" s="712">
        <f t="shared" ref="T32:AS32" si="19">$D$32*T15</f>
        <v>1597.575</v>
      </c>
      <c r="U32" s="712">
        <f t="shared" si="19"/>
        <v>1597.575</v>
      </c>
      <c r="V32" s="712">
        <f t="shared" si="19"/>
        <v>1597.575</v>
      </c>
      <c r="W32" s="712">
        <f t="shared" si="19"/>
        <v>1597.575</v>
      </c>
      <c r="X32" s="712">
        <f t="shared" si="19"/>
        <v>1597.575</v>
      </c>
      <c r="Y32" s="712">
        <f t="shared" si="19"/>
        <v>1597.575</v>
      </c>
      <c r="Z32" s="712">
        <f t="shared" si="19"/>
        <v>1597.575</v>
      </c>
      <c r="AA32" s="712">
        <f t="shared" si="19"/>
        <v>1597.575</v>
      </c>
      <c r="AB32" s="712">
        <f t="shared" si="19"/>
        <v>1597.575</v>
      </c>
      <c r="AC32" s="712">
        <f t="shared" si="19"/>
        <v>1597.575</v>
      </c>
      <c r="AD32" s="712">
        <f t="shared" si="19"/>
        <v>1597.575</v>
      </c>
      <c r="AE32" s="712">
        <f t="shared" si="19"/>
        <v>1597.575</v>
      </c>
      <c r="AF32" s="712">
        <f t="shared" si="19"/>
        <v>1597.575</v>
      </c>
      <c r="AG32" s="712">
        <f t="shared" si="19"/>
        <v>1597.575</v>
      </c>
      <c r="AH32" s="712">
        <f t="shared" si="19"/>
        <v>1597.575</v>
      </c>
      <c r="AI32" s="712">
        <f t="shared" si="19"/>
        <v>1597.575</v>
      </c>
      <c r="AJ32" s="712">
        <f t="shared" si="19"/>
        <v>1597.575</v>
      </c>
      <c r="AK32" s="712">
        <f t="shared" si="19"/>
        <v>1597.575</v>
      </c>
      <c r="AL32" s="712">
        <f t="shared" si="19"/>
        <v>1597.575</v>
      </c>
      <c r="AM32" s="712">
        <f t="shared" si="19"/>
        <v>1597.575</v>
      </c>
      <c r="AN32" s="712">
        <f t="shared" si="19"/>
        <v>1597.575</v>
      </c>
      <c r="AO32" s="712">
        <f t="shared" si="19"/>
        <v>1597.575</v>
      </c>
      <c r="AP32" s="712">
        <f t="shared" si="19"/>
        <v>1597.575</v>
      </c>
      <c r="AQ32" s="712">
        <f t="shared" si="19"/>
        <v>1597.575</v>
      </c>
      <c r="AR32" s="712">
        <f t="shared" si="19"/>
        <v>1597.575</v>
      </c>
      <c r="AS32" s="712">
        <f t="shared" si="19"/>
        <v>1597.575</v>
      </c>
      <c r="AT32" s="712">
        <f>$D$32*AT15</f>
        <v>1597.575</v>
      </c>
      <c r="AU32" s="711">
        <f t="shared" ref="AU32:CL32" si="20">$D$32*AU15</f>
        <v>1597.575</v>
      </c>
      <c r="AV32" s="711">
        <f t="shared" si="20"/>
        <v>1597.575</v>
      </c>
      <c r="AW32" s="711">
        <f t="shared" si="20"/>
        <v>1597.575</v>
      </c>
      <c r="AX32" s="711">
        <f t="shared" si="20"/>
        <v>1597.575</v>
      </c>
      <c r="AY32" s="711">
        <f t="shared" si="20"/>
        <v>1597.575</v>
      </c>
      <c r="AZ32" s="711">
        <f t="shared" si="20"/>
        <v>1597.575</v>
      </c>
      <c r="BA32" s="711">
        <f t="shared" si="20"/>
        <v>1597.575</v>
      </c>
      <c r="BB32" s="711">
        <f t="shared" si="20"/>
        <v>1597.575</v>
      </c>
      <c r="BC32" s="711">
        <f t="shared" si="20"/>
        <v>1597.575</v>
      </c>
      <c r="BD32" s="711">
        <f t="shared" si="20"/>
        <v>1597.575</v>
      </c>
      <c r="BE32" s="711">
        <f t="shared" si="20"/>
        <v>1597.575</v>
      </c>
      <c r="BF32" s="711">
        <f t="shared" si="20"/>
        <v>1597.575</v>
      </c>
      <c r="BG32" s="711">
        <f t="shared" si="20"/>
        <v>1597.575</v>
      </c>
      <c r="BH32" s="711">
        <f t="shared" si="20"/>
        <v>1597.575</v>
      </c>
      <c r="BI32" s="711">
        <f t="shared" si="20"/>
        <v>1597.575</v>
      </c>
      <c r="BJ32" s="711">
        <f t="shared" si="20"/>
        <v>1597.575</v>
      </c>
      <c r="BK32" s="711">
        <f t="shared" si="20"/>
        <v>1597.575</v>
      </c>
      <c r="BL32" s="711">
        <f t="shared" si="20"/>
        <v>1597.575</v>
      </c>
      <c r="BM32" s="711">
        <f t="shared" si="20"/>
        <v>1597.575</v>
      </c>
      <c r="BN32" s="711">
        <f t="shared" si="20"/>
        <v>1597.575</v>
      </c>
      <c r="BO32" s="711">
        <f t="shared" si="20"/>
        <v>1597.575</v>
      </c>
      <c r="BP32" s="711">
        <f t="shared" si="20"/>
        <v>1597.575</v>
      </c>
      <c r="BQ32" s="711">
        <f t="shared" si="20"/>
        <v>1597.575</v>
      </c>
      <c r="BR32" s="711">
        <f t="shared" si="20"/>
        <v>1597.575</v>
      </c>
      <c r="BS32" s="711">
        <f t="shared" si="20"/>
        <v>1597.575</v>
      </c>
      <c r="BT32" s="711">
        <f t="shared" si="20"/>
        <v>1597.575</v>
      </c>
      <c r="BU32" s="711">
        <f t="shared" si="20"/>
        <v>1597.575</v>
      </c>
      <c r="BV32" s="711">
        <f t="shared" si="20"/>
        <v>1597.575</v>
      </c>
      <c r="BW32" s="711">
        <f t="shared" si="20"/>
        <v>1597.575</v>
      </c>
      <c r="BX32" s="711">
        <f t="shared" si="20"/>
        <v>1597.575</v>
      </c>
      <c r="BY32" s="711">
        <f t="shared" si="20"/>
        <v>1597.575</v>
      </c>
      <c r="BZ32" s="711">
        <f t="shared" si="20"/>
        <v>1597.575</v>
      </c>
      <c r="CA32" s="711">
        <f t="shared" si="20"/>
        <v>1597.575</v>
      </c>
      <c r="CB32" s="711">
        <f t="shared" si="20"/>
        <v>1597.575</v>
      </c>
      <c r="CC32" s="711">
        <f t="shared" si="20"/>
        <v>1597.575</v>
      </c>
      <c r="CD32" s="711">
        <f t="shared" si="20"/>
        <v>1597.575</v>
      </c>
      <c r="CE32" s="711">
        <f t="shared" si="20"/>
        <v>1597.575</v>
      </c>
      <c r="CF32" s="711">
        <f t="shared" si="20"/>
        <v>1597.575</v>
      </c>
      <c r="CG32" s="711">
        <f t="shared" si="20"/>
        <v>1597.575</v>
      </c>
      <c r="CH32" s="711">
        <f t="shared" si="20"/>
        <v>1597.575</v>
      </c>
      <c r="CI32" s="711">
        <f t="shared" si="20"/>
        <v>1597.575</v>
      </c>
      <c r="CJ32" s="711">
        <f t="shared" si="20"/>
        <v>1597.575</v>
      </c>
      <c r="CK32" s="711">
        <f t="shared" si="20"/>
        <v>1597.575</v>
      </c>
      <c r="CL32" s="713">
        <f t="shared" si="20"/>
        <v>1597.575</v>
      </c>
      <c r="CM32" s="642">
        <f t="shared" si="0"/>
        <v>1597.5749999999982</v>
      </c>
      <c r="CN32" s="245"/>
      <c r="CO32" s="245"/>
      <c r="CP32" s="245"/>
      <c r="CQ32" s="245"/>
      <c r="CR32" s="245"/>
      <c r="CS32" s="245"/>
      <c r="CT32" s="245"/>
      <c r="CU32" s="245"/>
      <c r="CV32" s="245"/>
      <c r="CW32" s="245"/>
      <c r="CX32" s="245"/>
      <c r="CY32" s="245"/>
      <c r="CZ32" s="245"/>
      <c r="DA32" s="245"/>
      <c r="DB32" s="245"/>
      <c r="DC32" s="245"/>
      <c r="DD32" s="245"/>
      <c r="DE32" s="245"/>
      <c r="DF32" s="245"/>
      <c r="DG32" s="245"/>
      <c r="DH32" s="245"/>
      <c r="DI32" s="245"/>
      <c r="DJ32" s="245"/>
      <c r="DK32" s="245"/>
      <c r="DL32" s="245"/>
      <c r="DM32" s="245"/>
      <c r="DN32" s="245"/>
      <c r="DO32" s="245"/>
      <c r="DP32" s="245"/>
      <c r="DQ32" s="245"/>
      <c r="DR32" s="245"/>
      <c r="DS32" s="245"/>
      <c r="DT32" s="245"/>
      <c r="DU32" s="245"/>
      <c r="DV32" s="245"/>
      <c r="DW32" s="245"/>
      <c r="DX32" s="245"/>
      <c r="DY32" s="245"/>
      <c r="DZ32" s="245"/>
      <c r="EA32" s="245"/>
      <c r="EB32" s="245"/>
      <c r="EC32" s="245"/>
      <c r="ED32" s="245"/>
      <c r="EE32" s="245"/>
      <c r="EF32" s="245"/>
      <c r="EG32" s="245"/>
      <c r="EH32" s="245"/>
      <c r="EI32" s="245"/>
      <c r="EJ32" s="245"/>
      <c r="EK32" s="245"/>
      <c r="EL32" s="245"/>
      <c r="EM32" s="245"/>
      <c r="EN32" s="245"/>
      <c r="EO32" s="245"/>
      <c r="EP32" s="245"/>
      <c r="EQ32" s="245"/>
      <c r="ER32" s="245"/>
      <c r="ES32" s="245"/>
      <c r="ET32" s="245"/>
      <c r="EU32" s="245"/>
      <c r="EV32" s="245"/>
      <c r="EW32" s="245"/>
      <c r="EX32" s="245"/>
      <c r="EY32" s="245"/>
      <c r="EZ32" s="245"/>
      <c r="FA32" s="245"/>
      <c r="FB32" s="245"/>
      <c r="FC32" s="245"/>
      <c r="FD32" s="245"/>
      <c r="FE32" s="245"/>
      <c r="FF32" s="245"/>
      <c r="FG32" s="245"/>
      <c r="FH32" s="245"/>
      <c r="FI32" s="245"/>
      <c r="FJ32" s="245"/>
      <c r="FK32" s="245"/>
      <c r="FL32" s="245"/>
      <c r="FM32" s="245"/>
      <c r="FN32" s="245"/>
      <c r="FO32" s="245"/>
      <c r="FP32" s="245"/>
      <c r="FQ32" s="245"/>
      <c r="FR32" s="245"/>
      <c r="FS32" s="245"/>
      <c r="FT32" s="245"/>
      <c r="FU32" s="245"/>
      <c r="FV32" s="245"/>
    </row>
    <row r="33" spans="1:179">
      <c r="A33" s="1026"/>
      <c r="B33" s="647" t="s">
        <v>312</v>
      </c>
      <c r="C33" s="648" t="s">
        <v>313</v>
      </c>
      <c r="D33" s="720">
        <f>1.50375/1000</f>
        <v>1.5037499999999999E-3</v>
      </c>
      <c r="E33" s="649"/>
      <c r="F33" s="721" t="s">
        <v>179</v>
      </c>
      <c r="G33" s="722">
        <v>166.44858374999998</v>
      </c>
      <c r="H33" s="722">
        <v>166.44858374999998</v>
      </c>
      <c r="I33" s="722">
        <v>166.44858374999998</v>
      </c>
      <c r="J33" s="722">
        <v>166.44858374999998</v>
      </c>
      <c r="K33" s="722">
        <v>166.44858374999998</v>
      </c>
      <c r="L33" s="722">
        <v>166.44858374999998</v>
      </c>
      <c r="M33" s="722">
        <v>166.44858374999998</v>
      </c>
      <c r="N33" s="722">
        <v>166.44858374999998</v>
      </c>
      <c r="O33" s="722">
        <v>166.44858374999998</v>
      </c>
      <c r="P33" s="722">
        <v>166.44858374999998</v>
      </c>
      <c r="Q33" s="722">
        <v>166.44858374999998</v>
      </c>
      <c r="R33" s="722">
        <v>166.44858374999998</v>
      </c>
      <c r="S33" s="722">
        <v>166.44858374999998</v>
      </c>
      <c r="T33" s="722">
        <f t="shared" ref="T33:AS33" si="21">T16*$D$33</f>
        <v>166.44858374999998</v>
      </c>
      <c r="U33" s="722">
        <f t="shared" si="21"/>
        <v>166.44858374999998</v>
      </c>
      <c r="V33" s="722">
        <f t="shared" si="21"/>
        <v>166.44858374999998</v>
      </c>
      <c r="W33" s="722">
        <f t="shared" si="21"/>
        <v>166.44858374999998</v>
      </c>
      <c r="X33" s="722">
        <f t="shared" si="21"/>
        <v>166.44858374999998</v>
      </c>
      <c r="Y33" s="722">
        <f t="shared" si="21"/>
        <v>166.44858374999998</v>
      </c>
      <c r="Z33" s="722">
        <f t="shared" si="21"/>
        <v>166.44858374999998</v>
      </c>
      <c r="AA33" s="722">
        <f t="shared" si="21"/>
        <v>166.44858374999998</v>
      </c>
      <c r="AB33" s="722">
        <f t="shared" si="21"/>
        <v>166.44858374999998</v>
      </c>
      <c r="AC33" s="722">
        <f t="shared" si="21"/>
        <v>166.44858374999998</v>
      </c>
      <c r="AD33" s="722">
        <f t="shared" si="21"/>
        <v>166.44858374999998</v>
      </c>
      <c r="AE33" s="722">
        <f t="shared" si="21"/>
        <v>166.44858374999998</v>
      </c>
      <c r="AF33" s="722">
        <f t="shared" si="21"/>
        <v>166.44858374999998</v>
      </c>
      <c r="AG33" s="722">
        <f t="shared" si="21"/>
        <v>166.44858374999998</v>
      </c>
      <c r="AH33" s="722">
        <f t="shared" si="21"/>
        <v>166.44858374999998</v>
      </c>
      <c r="AI33" s="722">
        <f t="shared" si="21"/>
        <v>166.44858374999998</v>
      </c>
      <c r="AJ33" s="722">
        <f t="shared" si="21"/>
        <v>166.44858374999998</v>
      </c>
      <c r="AK33" s="722">
        <f t="shared" si="21"/>
        <v>166.44858374999998</v>
      </c>
      <c r="AL33" s="722">
        <f t="shared" si="21"/>
        <v>166.44858374999998</v>
      </c>
      <c r="AM33" s="722">
        <f t="shared" si="21"/>
        <v>166.44858374999998</v>
      </c>
      <c r="AN33" s="722">
        <f t="shared" si="21"/>
        <v>166.44858374999998</v>
      </c>
      <c r="AO33" s="722">
        <f t="shared" si="21"/>
        <v>166.44858374999998</v>
      </c>
      <c r="AP33" s="722">
        <f t="shared" si="21"/>
        <v>166.44858374999998</v>
      </c>
      <c r="AQ33" s="722">
        <f t="shared" si="21"/>
        <v>166.44858374999998</v>
      </c>
      <c r="AR33" s="722">
        <f t="shared" si="21"/>
        <v>166.44858374999998</v>
      </c>
      <c r="AS33" s="722">
        <f t="shared" si="21"/>
        <v>166.44858374999998</v>
      </c>
      <c r="AT33" s="722">
        <f>AT16*$D$33</f>
        <v>166.44858374999998</v>
      </c>
      <c r="AU33" s="723">
        <f t="shared" ref="AU33:CL33" si="22">AU16*$D$33</f>
        <v>166.44858374999998</v>
      </c>
      <c r="AV33" s="723">
        <f t="shared" si="22"/>
        <v>166.44858374999998</v>
      </c>
      <c r="AW33" s="723">
        <f t="shared" si="22"/>
        <v>166.44858374999998</v>
      </c>
      <c r="AX33" s="723">
        <f t="shared" si="22"/>
        <v>166.44858374999998</v>
      </c>
      <c r="AY33" s="723">
        <f t="shared" si="22"/>
        <v>166.44858374999998</v>
      </c>
      <c r="AZ33" s="723">
        <f t="shared" si="22"/>
        <v>166.44858374999998</v>
      </c>
      <c r="BA33" s="723">
        <f t="shared" si="22"/>
        <v>166.44858374999998</v>
      </c>
      <c r="BB33" s="723">
        <f t="shared" si="22"/>
        <v>166.44858374999998</v>
      </c>
      <c r="BC33" s="723">
        <f t="shared" si="22"/>
        <v>166.44858374999998</v>
      </c>
      <c r="BD33" s="723">
        <f t="shared" si="22"/>
        <v>166.44858374999998</v>
      </c>
      <c r="BE33" s="723">
        <f t="shared" si="22"/>
        <v>166.44858374999998</v>
      </c>
      <c r="BF33" s="723">
        <f t="shared" si="22"/>
        <v>166.44858374999998</v>
      </c>
      <c r="BG33" s="723">
        <f t="shared" si="22"/>
        <v>166.44858374999998</v>
      </c>
      <c r="BH33" s="723">
        <f t="shared" si="22"/>
        <v>166.44858374999998</v>
      </c>
      <c r="BI33" s="723">
        <f t="shared" si="22"/>
        <v>166.44858374999998</v>
      </c>
      <c r="BJ33" s="723">
        <f t="shared" si="22"/>
        <v>166.44858374999998</v>
      </c>
      <c r="BK33" s="723">
        <f t="shared" si="22"/>
        <v>166.44858374999998</v>
      </c>
      <c r="BL33" s="723">
        <f t="shared" si="22"/>
        <v>166.44858374999998</v>
      </c>
      <c r="BM33" s="723">
        <f t="shared" si="22"/>
        <v>166.44858374999998</v>
      </c>
      <c r="BN33" s="723">
        <f t="shared" si="22"/>
        <v>166.44858374999998</v>
      </c>
      <c r="BO33" s="723">
        <f t="shared" si="22"/>
        <v>166.44858374999998</v>
      </c>
      <c r="BP33" s="723">
        <f t="shared" si="22"/>
        <v>166.44858374999998</v>
      </c>
      <c r="BQ33" s="723">
        <f t="shared" si="22"/>
        <v>166.44858374999998</v>
      </c>
      <c r="BR33" s="723">
        <f t="shared" si="22"/>
        <v>166.44858374999998</v>
      </c>
      <c r="BS33" s="723">
        <f t="shared" si="22"/>
        <v>166.44858374999998</v>
      </c>
      <c r="BT33" s="723">
        <f t="shared" si="22"/>
        <v>166.44858374999998</v>
      </c>
      <c r="BU33" s="723">
        <f t="shared" si="22"/>
        <v>166.44858374999998</v>
      </c>
      <c r="BV33" s="723">
        <f t="shared" si="22"/>
        <v>166.44858374999998</v>
      </c>
      <c r="BW33" s="723">
        <f t="shared" si="22"/>
        <v>166.44858374999998</v>
      </c>
      <c r="BX33" s="723">
        <f t="shared" si="22"/>
        <v>166.44858374999998</v>
      </c>
      <c r="BY33" s="723">
        <f t="shared" si="22"/>
        <v>166.44858374999998</v>
      </c>
      <c r="BZ33" s="723">
        <f t="shared" si="22"/>
        <v>166.44858374999998</v>
      </c>
      <c r="CA33" s="723">
        <f t="shared" si="22"/>
        <v>166.44858374999998</v>
      </c>
      <c r="CB33" s="723">
        <f t="shared" si="22"/>
        <v>166.44858374999998</v>
      </c>
      <c r="CC33" s="723">
        <f t="shared" si="22"/>
        <v>166.44858374999998</v>
      </c>
      <c r="CD33" s="723">
        <f t="shared" si="22"/>
        <v>166.44858374999998</v>
      </c>
      <c r="CE33" s="723">
        <f t="shared" si="22"/>
        <v>166.44858374999998</v>
      </c>
      <c r="CF33" s="723">
        <f t="shared" si="22"/>
        <v>166.44858374999998</v>
      </c>
      <c r="CG33" s="723">
        <f t="shared" si="22"/>
        <v>166.44858374999998</v>
      </c>
      <c r="CH33" s="723">
        <f t="shared" si="22"/>
        <v>166.44858374999998</v>
      </c>
      <c r="CI33" s="723">
        <f t="shared" si="22"/>
        <v>166.44858374999998</v>
      </c>
      <c r="CJ33" s="723">
        <f t="shared" si="22"/>
        <v>166.44858374999998</v>
      </c>
      <c r="CK33" s="723">
        <f t="shared" si="22"/>
        <v>166.44858374999998</v>
      </c>
      <c r="CL33" s="724">
        <f t="shared" si="22"/>
        <v>166.44858374999998</v>
      </c>
      <c r="CM33" s="642">
        <f t="shared" si="0"/>
        <v>166.44858374999978</v>
      </c>
      <c r="CN33" s="634"/>
      <c r="CO33" s="725">
        <v>41883</v>
      </c>
      <c r="CP33" s="725">
        <v>41913</v>
      </c>
      <c r="CQ33" s="725">
        <v>41944</v>
      </c>
      <c r="CR33" s="725">
        <v>41974</v>
      </c>
      <c r="CS33" s="725">
        <v>42005</v>
      </c>
      <c r="CT33" s="725">
        <v>42036</v>
      </c>
      <c r="CU33" s="725">
        <v>42064</v>
      </c>
      <c r="CV33" s="725">
        <v>42095</v>
      </c>
      <c r="CW33" s="725">
        <v>42125</v>
      </c>
      <c r="CX33" s="725">
        <v>42156</v>
      </c>
      <c r="CY33" s="725">
        <v>42186</v>
      </c>
      <c r="CZ33" s="725">
        <v>42217</v>
      </c>
      <c r="DA33" s="725">
        <v>42248</v>
      </c>
      <c r="DB33" s="725">
        <v>42278</v>
      </c>
      <c r="DC33" s="725">
        <v>42309</v>
      </c>
      <c r="DD33" s="725">
        <v>42339</v>
      </c>
      <c r="DE33" s="725">
        <v>42370</v>
      </c>
      <c r="DF33" s="725">
        <v>42401</v>
      </c>
      <c r="DG33" s="725">
        <v>42430</v>
      </c>
      <c r="DH33" s="725">
        <v>42461</v>
      </c>
      <c r="DI33" s="725">
        <v>42491</v>
      </c>
      <c r="DJ33" s="725">
        <v>42522</v>
      </c>
      <c r="DK33" s="725">
        <v>42552</v>
      </c>
      <c r="DL33" s="725">
        <v>42583</v>
      </c>
      <c r="DM33" s="725">
        <v>42614</v>
      </c>
      <c r="DN33" s="725">
        <v>42644</v>
      </c>
      <c r="DO33" s="725">
        <v>42675</v>
      </c>
      <c r="DP33" s="725">
        <v>42705</v>
      </c>
      <c r="DQ33" s="725">
        <v>42736</v>
      </c>
      <c r="DR33" s="725">
        <v>42767</v>
      </c>
      <c r="DS33" s="725">
        <v>42795</v>
      </c>
      <c r="DT33" s="725">
        <v>42826</v>
      </c>
      <c r="DU33" s="725">
        <v>42856</v>
      </c>
      <c r="DV33" s="725">
        <v>42887</v>
      </c>
      <c r="DW33" s="725">
        <v>42917</v>
      </c>
      <c r="DX33" s="725">
        <v>42948</v>
      </c>
      <c r="DY33" s="725">
        <v>42979</v>
      </c>
      <c r="DZ33" s="725">
        <v>43009</v>
      </c>
      <c r="EA33" s="725">
        <v>43040</v>
      </c>
      <c r="EB33" s="725">
        <v>43070</v>
      </c>
      <c r="EC33" s="725">
        <v>43101</v>
      </c>
      <c r="ED33" s="725">
        <v>43132</v>
      </c>
      <c r="EE33" s="725">
        <v>43160</v>
      </c>
      <c r="EF33" s="725">
        <v>43191</v>
      </c>
      <c r="EG33" s="725">
        <v>43221</v>
      </c>
      <c r="EH33" s="725">
        <v>43252</v>
      </c>
      <c r="EI33" s="725">
        <v>43282</v>
      </c>
      <c r="EJ33" s="725">
        <v>43313</v>
      </c>
      <c r="EK33" s="725">
        <v>43344</v>
      </c>
      <c r="EL33" s="725">
        <v>43374</v>
      </c>
      <c r="EM33" s="725">
        <v>43405</v>
      </c>
      <c r="EN33" s="725">
        <v>43435</v>
      </c>
      <c r="EO33" s="725">
        <v>43466</v>
      </c>
      <c r="EP33" s="725">
        <v>43497</v>
      </c>
      <c r="EQ33" s="725">
        <v>43525</v>
      </c>
      <c r="ER33" s="725">
        <v>43556</v>
      </c>
      <c r="ES33" s="725">
        <v>43586</v>
      </c>
      <c r="ET33" s="725">
        <v>43617</v>
      </c>
      <c r="EU33" s="725">
        <v>43647</v>
      </c>
      <c r="EV33" s="725">
        <v>43678</v>
      </c>
      <c r="EW33" s="725">
        <v>43709</v>
      </c>
      <c r="EX33" s="725">
        <v>43739</v>
      </c>
      <c r="EY33" s="725">
        <v>43770</v>
      </c>
      <c r="EZ33" s="725">
        <v>43800</v>
      </c>
      <c r="FA33" s="725">
        <v>43831</v>
      </c>
      <c r="FB33" s="725">
        <v>43862</v>
      </c>
      <c r="FC33" s="725">
        <v>43891</v>
      </c>
      <c r="FD33" s="725">
        <v>43922</v>
      </c>
      <c r="FE33" s="725">
        <v>43952</v>
      </c>
      <c r="FF33" s="725">
        <v>43983</v>
      </c>
      <c r="FG33" s="725">
        <v>44013</v>
      </c>
      <c r="FH33" s="725">
        <v>44044</v>
      </c>
      <c r="FI33" s="725">
        <v>44075</v>
      </c>
      <c r="FJ33" s="725">
        <v>44105</v>
      </c>
      <c r="FK33" s="725">
        <v>44136</v>
      </c>
      <c r="FL33" s="725">
        <v>44166</v>
      </c>
      <c r="FM33" s="725">
        <v>44197</v>
      </c>
      <c r="FN33" s="725">
        <v>44228</v>
      </c>
      <c r="FO33" s="725">
        <v>44256</v>
      </c>
      <c r="FP33" s="725">
        <v>44287</v>
      </c>
      <c r="FQ33" s="725">
        <v>44317</v>
      </c>
      <c r="FR33" s="725">
        <v>44348</v>
      </c>
      <c r="FS33" s="725">
        <v>44378</v>
      </c>
      <c r="FT33" s="725">
        <v>44409</v>
      </c>
      <c r="FU33" s="725">
        <v>44440</v>
      </c>
      <c r="FV33" s="653"/>
    </row>
    <row r="34" spans="1:179" ht="15" customHeight="1">
      <c r="A34" s="1027" t="s">
        <v>106</v>
      </c>
      <c r="B34" s="686" t="s">
        <v>307</v>
      </c>
      <c r="C34" s="687" t="s">
        <v>313</v>
      </c>
      <c r="D34" s="687">
        <v>1.61</v>
      </c>
      <c r="E34" s="1029" t="s">
        <v>316</v>
      </c>
      <c r="F34" s="726" t="s">
        <v>142</v>
      </c>
      <c r="G34" s="683">
        <f t="shared" ref="G34:R34" si="23">$D$34*G16</f>
        <v>178209.29</v>
      </c>
      <c r="H34" s="683">
        <f t="shared" si="23"/>
        <v>178209.29</v>
      </c>
      <c r="I34" s="683">
        <f t="shared" si="23"/>
        <v>178209.29</v>
      </c>
      <c r="J34" s="683">
        <f t="shared" si="23"/>
        <v>178209.29</v>
      </c>
      <c r="K34" s="683">
        <f t="shared" si="23"/>
        <v>178209.29</v>
      </c>
      <c r="L34" s="683">
        <f t="shared" si="23"/>
        <v>178209.29</v>
      </c>
      <c r="M34" s="683">
        <f t="shared" si="23"/>
        <v>178209.29</v>
      </c>
      <c r="N34" s="683">
        <f t="shared" si="23"/>
        <v>178209.29</v>
      </c>
      <c r="O34" s="683">
        <f t="shared" si="23"/>
        <v>178209.29</v>
      </c>
      <c r="P34" s="683">
        <f t="shared" si="23"/>
        <v>178209.29</v>
      </c>
      <c r="Q34" s="683">
        <f t="shared" si="23"/>
        <v>178209.29</v>
      </c>
      <c r="R34" s="683">
        <f t="shared" si="23"/>
        <v>178209.29</v>
      </c>
      <c r="S34" s="683">
        <f>$D$34*S16</f>
        <v>178209.29</v>
      </c>
      <c r="T34" s="683">
        <f t="shared" ref="T34:CE34" si="24">$D$34*T16</f>
        <v>178209.29</v>
      </c>
      <c r="U34" s="683">
        <f t="shared" si="24"/>
        <v>178209.29</v>
      </c>
      <c r="V34" s="683">
        <f t="shared" si="24"/>
        <v>178209.29</v>
      </c>
      <c r="W34" s="683">
        <f t="shared" si="24"/>
        <v>178209.29</v>
      </c>
      <c r="X34" s="683">
        <f t="shared" si="24"/>
        <v>178209.29</v>
      </c>
      <c r="Y34" s="683">
        <f t="shared" si="24"/>
        <v>178209.29</v>
      </c>
      <c r="Z34" s="683">
        <f t="shared" si="24"/>
        <v>178209.29</v>
      </c>
      <c r="AA34" s="683">
        <f t="shared" si="24"/>
        <v>178209.29</v>
      </c>
      <c r="AB34" s="683">
        <f t="shared" si="24"/>
        <v>178209.29</v>
      </c>
      <c r="AC34" s="683">
        <f t="shared" si="24"/>
        <v>178209.29</v>
      </c>
      <c r="AD34" s="683">
        <f t="shared" si="24"/>
        <v>178209.29</v>
      </c>
      <c r="AE34" s="683">
        <f t="shared" si="24"/>
        <v>178209.29</v>
      </c>
      <c r="AF34" s="683">
        <f t="shared" si="24"/>
        <v>178209.29</v>
      </c>
      <c r="AG34" s="683">
        <f t="shared" si="24"/>
        <v>178209.29</v>
      </c>
      <c r="AH34" s="683">
        <f t="shared" si="24"/>
        <v>178209.29</v>
      </c>
      <c r="AI34" s="683">
        <f t="shared" si="24"/>
        <v>178209.29</v>
      </c>
      <c r="AJ34" s="683">
        <f t="shared" si="24"/>
        <v>178209.29</v>
      </c>
      <c r="AK34" s="683">
        <f t="shared" si="24"/>
        <v>178209.29</v>
      </c>
      <c r="AL34" s="683">
        <f t="shared" si="24"/>
        <v>178209.29</v>
      </c>
      <c r="AM34" s="683">
        <f t="shared" si="24"/>
        <v>178209.29</v>
      </c>
      <c r="AN34" s="683">
        <f t="shared" si="24"/>
        <v>178209.29</v>
      </c>
      <c r="AO34" s="683">
        <f t="shared" si="24"/>
        <v>178209.29</v>
      </c>
      <c r="AP34" s="683">
        <f t="shared" si="24"/>
        <v>178209.29</v>
      </c>
      <c r="AQ34" s="683">
        <f t="shared" si="24"/>
        <v>178209.29</v>
      </c>
      <c r="AR34" s="683">
        <f t="shared" si="24"/>
        <v>178209.29</v>
      </c>
      <c r="AS34" s="683">
        <f t="shared" si="24"/>
        <v>178209.29</v>
      </c>
      <c r="AT34" s="683">
        <f t="shared" si="24"/>
        <v>178209.29</v>
      </c>
      <c r="AU34" s="727">
        <f t="shared" si="24"/>
        <v>178209.29</v>
      </c>
      <c r="AV34" s="727">
        <f t="shared" si="24"/>
        <v>178209.29</v>
      </c>
      <c r="AW34" s="727">
        <f t="shared" si="24"/>
        <v>178209.29</v>
      </c>
      <c r="AX34" s="727">
        <f t="shared" si="24"/>
        <v>178209.29</v>
      </c>
      <c r="AY34" s="727">
        <f t="shared" si="24"/>
        <v>178209.29</v>
      </c>
      <c r="AZ34" s="727">
        <f t="shared" si="24"/>
        <v>178209.29</v>
      </c>
      <c r="BA34" s="727">
        <f t="shared" si="24"/>
        <v>178209.29</v>
      </c>
      <c r="BB34" s="727">
        <f t="shared" si="24"/>
        <v>178209.29</v>
      </c>
      <c r="BC34" s="727">
        <f t="shared" si="24"/>
        <v>178209.29</v>
      </c>
      <c r="BD34" s="727">
        <f t="shared" si="24"/>
        <v>178209.29</v>
      </c>
      <c r="BE34" s="727">
        <f t="shared" si="24"/>
        <v>178209.29</v>
      </c>
      <c r="BF34" s="727">
        <f t="shared" si="24"/>
        <v>178209.29</v>
      </c>
      <c r="BG34" s="727">
        <f t="shared" si="24"/>
        <v>178209.29</v>
      </c>
      <c r="BH34" s="727">
        <f t="shared" si="24"/>
        <v>178209.29</v>
      </c>
      <c r="BI34" s="727">
        <f t="shared" si="24"/>
        <v>178209.29</v>
      </c>
      <c r="BJ34" s="727">
        <f t="shared" si="24"/>
        <v>178209.29</v>
      </c>
      <c r="BK34" s="727">
        <f t="shared" si="24"/>
        <v>178209.29</v>
      </c>
      <c r="BL34" s="727">
        <f t="shared" si="24"/>
        <v>178209.29</v>
      </c>
      <c r="BM34" s="727">
        <f t="shared" si="24"/>
        <v>178209.29</v>
      </c>
      <c r="BN34" s="727">
        <f t="shared" si="24"/>
        <v>178209.29</v>
      </c>
      <c r="BO34" s="727">
        <f t="shared" si="24"/>
        <v>178209.29</v>
      </c>
      <c r="BP34" s="727">
        <f t="shared" si="24"/>
        <v>178209.29</v>
      </c>
      <c r="BQ34" s="727">
        <f t="shared" si="24"/>
        <v>178209.29</v>
      </c>
      <c r="BR34" s="727">
        <f t="shared" si="24"/>
        <v>178209.29</v>
      </c>
      <c r="BS34" s="727">
        <f t="shared" si="24"/>
        <v>178209.29</v>
      </c>
      <c r="BT34" s="727">
        <f t="shared" si="24"/>
        <v>178209.29</v>
      </c>
      <c r="BU34" s="727">
        <f t="shared" si="24"/>
        <v>178209.29</v>
      </c>
      <c r="BV34" s="727">
        <f t="shared" si="24"/>
        <v>178209.29</v>
      </c>
      <c r="BW34" s="727">
        <f t="shared" si="24"/>
        <v>178209.29</v>
      </c>
      <c r="BX34" s="727">
        <f t="shared" si="24"/>
        <v>178209.29</v>
      </c>
      <c r="BY34" s="727">
        <f t="shared" si="24"/>
        <v>178209.29</v>
      </c>
      <c r="BZ34" s="727">
        <f t="shared" si="24"/>
        <v>178209.29</v>
      </c>
      <c r="CA34" s="727">
        <f t="shared" si="24"/>
        <v>178209.29</v>
      </c>
      <c r="CB34" s="727">
        <f t="shared" si="24"/>
        <v>178209.29</v>
      </c>
      <c r="CC34" s="727">
        <f t="shared" si="24"/>
        <v>178209.29</v>
      </c>
      <c r="CD34" s="727">
        <f t="shared" si="24"/>
        <v>178209.29</v>
      </c>
      <c r="CE34" s="727">
        <f t="shared" si="24"/>
        <v>178209.29</v>
      </c>
      <c r="CF34" s="727">
        <f t="shared" ref="CF34:CL34" si="25">$D$34*CF16</f>
        <v>178209.29</v>
      </c>
      <c r="CG34" s="727">
        <f t="shared" si="25"/>
        <v>178209.29</v>
      </c>
      <c r="CH34" s="727">
        <f t="shared" si="25"/>
        <v>178209.29</v>
      </c>
      <c r="CI34" s="727">
        <f t="shared" si="25"/>
        <v>178209.29</v>
      </c>
      <c r="CJ34" s="727">
        <f t="shared" si="25"/>
        <v>178209.29</v>
      </c>
      <c r="CK34" s="727">
        <f t="shared" si="25"/>
        <v>178209.29</v>
      </c>
      <c r="CL34" s="726">
        <f t="shared" si="25"/>
        <v>178209.29</v>
      </c>
      <c r="CM34" s="728">
        <f t="shared" si="0"/>
        <v>178209.28999999963</v>
      </c>
      <c r="CN34" s="729" t="s">
        <v>319</v>
      </c>
      <c r="CO34" s="729">
        <v>6.12</v>
      </c>
      <c r="CP34" s="729">
        <v>6.12</v>
      </c>
      <c r="CQ34" s="729">
        <v>6.12</v>
      </c>
      <c r="CR34" s="729">
        <v>6.12</v>
      </c>
      <c r="CS34" s="729">
        <v>6.24</v>
      </c>
      <c r="CT34" s="729">
        <v>6.24</v>
      </c>
      <c r="CU34" s="729">
        <v>6.28</v>
      </c>
      <c r="CV34" s="729">
        <v>6.28</v>
      </c>
      <c r="CW34" s="729">
        <v>6.32</v>
      </c>
      <c r="CX34" s="729">
        <v>6.32</v>
      </c>
      <c r="CY34" s="729">
        <v>6.47</v>
      </c>
      <c r="CZ34" s="729">
        <v>6.47</v>
      </c>
      <c r="DA34" s="729">
        <v>6.47</v>
      </c>
      <c r="DB34" s="729">
        <v>6.51</v>
      </c>
      <c r="DC34" s="729">
        <v>6.6447253073219397</v>
      </c>
      <c r="DD34" s="729">
        <v>6.6592391374311397</v>
      </c>
      <c r="DE34" s="729">
        <v>6.6737529675403398</v>
      </c>
      <c r="DF34" s="729">
        <v>6.6882667976495496</v>
      </c>
      <c r="DG34" s="729">
        <v>6.7027806277587496</v>
      </c>
      <c r="DH34" s="729">
        <v>6.7172944578679497</v>
      </c>
      <c r="DI34" s="729">
        <v>6.7318082879771604</v>
      </c>
      <c r="DJ34" s="729">
        <v>6.7463221180863604</v>
      </c>
      <c r="DK34" s="729">
        <v>6.7608359481955604</v>
      </c>
      <c r="DL34" s="729">
        <v>6.7753497783047703</v>
      </c>
      <c r="DM34" s="729">
        <v>6.7898636084139703</v>
      </c>
      <c r="DN34" s="729">
        <v>6.91</v>
      </c>
      <c r="DO34" s="729">
        <v>6.8188912686323802</v>
      </c>
      <c r="DP34" s="729">
        <v>6.86</v>
      </c>
      <c r="DQ34" s="729">
        <v>6.8479189288507802</v>
      </c>
      <c r="DR34" s="729">
        <v>6.8624327589599803</v>
      </c>
      <c r="DS34" s="729">
        <v>6.8769465890691901</v>
      </c>
      <c r="DT34" s="729">
        <v>6.8914604191783901</v>
      </c>
      <c r="DU34" s="729">
        <v>6.9059742492875902</v>
      </c>
      <c r="DV34" s="729">
        <v>6.9204880793968</v>
      </c>
      <c r="DW34" s="729">
        <v>6.935001909506</v>
      </c>
      <c r="DX34" s="729">
        <v>6.9495157396152001</v>
      </c>
      <c r="DY34" s="729">
        <v>6.9640295697244099</v>
      </c>
      <c r="DZ34" s="729">
        <v>6.9785433998336099</v>
      </c>
      <c r="EA34" s="729">
        <v>6.99305722994281</v>
      </c>
      <c r="EB34" s="729">
        <v>7.0075710600520198</v>
      </c>
      <c r="EC34" s="729">
        <v>5.2450000000000001</v>
      </c>
      <c r="ED34" s="729">
        <v>7.48</v>
      </c>
      <c r="EE34" s="729">
        <v>7.6002255138846202</v>
      </c>
      <c r="EF34" s="729">
        <v>6.65</v>
      </c>
      <c r="EG34" s="729">
        <v>6.77</v>
      </c>
      <c r="EH34" s="729">
        <v>6.83</v>
      </c>
      <c r="EI34" s="729">
        <v>8.23</v>
      </c>
      <c r="EJ34" s="729">
        <v>8.2200000000000006</v>
      </c>
      <c r="EK34" s="729">
        <v>7.32</v>
      </c>
      <c r="EL34" s="729">
        <v>8.18</v>
      </c>
      <c r="EM34" s="729">
        <v>7.53</v>
      </c>
      <c r="EN34" s="729">
        <v>7.13</v>
      </c>
      <c r="EO34" s="729">
        <v>6.42</v>
      </c>
      <c r="EP34" s="729">
        <v>7.18</v>
      </c>
      <c r="EQ34" s="729">
        <v>6.07</v>
      </c>
      <c r="ER34" s="729">
        <v>4.8415999999999997</v>
      </c>
      <c r="ES34" s="729">
        <v>4.8899999999999997</v>
      </c>
      <c r="ET34" s="729">
        <v>5.4</v>
      </c>
      <c r="EU34" s="729">
        <v>5.84</v>
      </c>
      <c r="EV34" s="729">
        <v>5.76</v>
      </c>
      <c r="EW34" s="729">
        <v>5.46</v>
      </c>
      <c r="EX34" s="729">
        <v>6.36</v>
      </c>
      <c r="EY34" s="729">
        <v>6.17</v>
      </c>
      <c r="EZ34" s="729">
        <v>6.84</v>
      </c>
      <c r="FA34" s="729">
        <v>5.67</v>
      </c>
      <c r="FB34" s="729">
        <v>5.33</v>
      </c>
      <c r="FC34" s="729">
        <v>3.69</v>
      </c>
      <c r="FD34" s="729">
        <v>4.9800000000000004</v>
      </c>
      <c r="FE34" s="729">
        <v>4.4800000000000004</v>
      </c>
      <c r="FF34" s="729">
        <v>3</v>
      </c>
      <c r="FG34" s="729">
        <v>2.6</v>
      </c>
      <c r="FH34" s="729">
        <v>3.43</v>
      </c>
      <c r="FI34" s="729">
        <v>4.3499999999999996</v>
      </c>
      <c r="FJ34" s="729">
        <v>4.68</v>
      </c>
      <c r="FK34" s="729">
        <v>5.0999999999999996</v>
      </c>
      <c r="FL34" s="729">
        <v>6.03</v>
      </c>
      <c r="FM34" s="729">
        <v>6.67</v>
      </c>
      <c r="FN34" s="729">
        <v>8.02</v>
      </c>
      <c r="FO34" s="729">
        <v>7.23</v>
      </c>
      <c r="FP34" s="729">
        <v>5.36</v>
      </c>
      <c r="FQ34" s="729">
        <v>5.15</v>
      </c>
      <c r="FR34" s="729">
        <v>5.64</v>
      </c>
      <c r="FS34" s="729">
        <v>6.42</v>
      </c>
      <c r="FT34" s="729">
        <v>7.17</v>
      </c>
      <c r="FU34" s="729">
        <v>7.47</v>
      </c>
      <c r="FV34" s="730">
        <f t="shared" ref="FV34:FV41" si="26">AVERAGE(EC34:FU34)</f>
        <v>6.0197072336418813</v>
      </c>
      <c r="FW34" s="312"/>
    </row>
    <row r="35" spans="1:179">
      <c r="A35" s="1028"/>
      <c r="B35" s="686" t="s">
        <v>307</v>
      </c>
      <c r="C35" s="687" t="s">
        <v>313</v>
      </c>
      <c r="D35" s="687">
        <v>514.32000000000005</v>
      </c>
      <c r="E35" s="1029"/>
      <c r="F35" s="726" t="s">
        <v>133</v>
      </c>
      <c r="G35" s="683">
        <f t="shared" ref="G35:BR35" si="27">$D$35*G16</f>
        <v>56929566.480000004</v>
      </c>
      <c r="H35" s="683">
        <f t="shared" si="27"/>
        <v>56929566.480000004</v>
      </c>
      <c r="I35" s="683">
        <f t="shared" si="27"/>
        <v>56929566.480000004</v>
      </c>
      <c r="J35" s="683">
        <f t="shared" si="27"/>
        <v>56929566.480000004</v>
      </c>
      <c r="K35" s="683">
        <f t="shared" si="27"/>
        <v>56929566.480000004</v>
      </c>
      <c r="L35" s="683">
        <f t="shared" si="27"/>
        <v>56929566.480000004</v>
      </c>
      <c r="M35" s="683">
        <f t="shared" si="27"/>
        <v>56929566.480000004</v>
      </c>
      <c r="N35" s="683">
        <f t="shared" si="27"/>
        <v>56929566.480000004</v>
      </c>
      <c r="O35" s="683">
        <f t="shared" si="27"/>
        <v>56929566.480000004</v>
      </c>
      <c r="P35" s="683">
        <f t="shared" si="27"/>
        <v>56929566.480000004</v>
      </c>
      <c r="Q35" s="683">
        <f t="shared" si="27"/>
        <v>56929566.480000004</v>
      </c>
      <c r="R35" s="683">
        <f t="shared" si="27"/>
        <v>56929566.480000004</v>
      </c>
      <c r="S35" s="683">
        <f t="shared" si="27"/>
        <v>56929566.480000004</v>
      </c>
      <c r="T35" s="683">
        <f t="shared" si="27"/>
        <v>56929566.480000004</v>
      </c>
      <c r="U35" s="683">
        <f t="shared" si="27"/>
        <v>56929566.480000004</v>
      </c>
      <c r="V35" s="683">
        <f t="shared" si="27"/>
        <v>56929566.480000004</v>
      </c>
      <c r="W35" s="683">
        <f t="shared" si="27"/>
        <v>56929566.480000004</v>
      </c>
      <c r="X35" s="683">
        <f t="shared" si="27"/>
        <v>56929566.480000004</v>
      </c>
      <c r="Y35" s="683">
        <f t="shared" si="27"/>
        <v>56929566.480000004</v>
      </c>
      <c r="Z35" s="683">
        <f t="shared" si="27"/>
        <v>56929566.480000004</v>
      </c>
      <c r="AA35" s="683">
        <f t="shared" si="27"/>
        <v>56929566.480000004</v>
      </c>
      <c r="AB35" s="683">
        <f t="shared" si="27"/>
        <v>56929566.480000004</v>
      </c>
      <c r="AC35" s="683">
        <f t="shared" si="27"/>
        <v>56929566.480000004</v>
      </c>
      <c r="AD35" s="683">
        <f t="shared" si="27"/>
        <v>56929566.480000004</v>
      </c>
      <c r="AE35" s="683">
        <f t="shared" si="27"/>
        <v>56929566.480000004</v>
      </c>
      <c r="AF35" s="683">
        <f t="shared" si="27"/>
        <v>56929566.480000004</v>
      </c>
      <c r="AG35" s="683">
        <f t="shared" si="27"/>
        <v>56929566.480000004</v>
      </c>
      <c r="AH35" s="683">
        <f t="shared" si="27"/>
        <v>56929566.480000004</v>
      </c>
      <c r="AI35" s="683">
        <f t="shared" si="27"/>
        <v>56929566.480000004</v>
      </c>
      <c r="AJ35" s="683">
        <f t="shared" si="27"/>
        <v>56929566.480000004</v>
      </c>
      <c r="AK35" s="683">
        <f t="shared" si="27"/>
        <v>56929566.480000004</v>
      </c>
      <c r="AL35" s="683">
        <f t="shared" si="27"/>
        <v>56929566.480000004</v>
      </c>
      <c r="AM35" s="683">
        <f t="shared" si="27"/>
        <v>56929566.480000004</v>
      </c>
      <c r="AN35" s="683">
        <f t="shared" si="27"/>
        <v>56929566.480000004</v>
      </c>
      <c r="AO35" s="683">
        <f t="shared" si="27"/>
        <v>56929566.480000004</v>
      </c>
      <c r="AP35" s="683">
        <f t="shared" si="27"/>
        <v>56929566.480000004</v>
      </c>
      <c r="AQ35" s="683">
        <f t="shared" si="27"/>
        <v>56929566.480000004</v>
      </c>
      <c r="AR35" s="683">
        <f t="shared" si="27"/>
        <v>56929566.480000004</v>
      </c>
      <c r="AS35" s="683">
        <f t="shared" si="27"/>
        <v>56929566.480000004</v>
      </c>
      <c r="AT35" s="683">
        <f t="shared" si="27"/>
        <v>56929566.480000004</v>
      </c>
      <c r="AU35" s="727">
        <f t="shared" si="27"/>
        <v>56929566.480000004</v>
      </c>
      <c r="AV35" s="727">
        <f t="shared" si="27"/>
        <v>56929566.480000004</v>
      </c>
      <c r="AW35" s="727">
        <f t="shared" si="27"/>
        <v>56929566.480000004</v>
      </c>
      <c r="AX35" s="727">
        <f t="shared" si="27"/>
        <v>56929566.480000004</v>
      </c>
      <c r="AY35" s="727">
        <f t="shared" si="27"/>
        <v>56929566.480000004</v>
      </c>
      <c r="AZ35" s="727">
        <f t="shared" si="27"/>
        <v>56929566.480000004</v>
      </c>
      <c r="BA35" s="727">
        <f t="shared" si="27"/>
        <v>56929566.480000004</v>
      </c>
      <c r="BB35" s="727">
        <f t="shared" si="27"/>
        <v>56929566.480000004</v>
      </c>
      <c r="BC35" s="727">
        <f t="shared" si="27"/>
        <v>56929566.480000004</v>
      </c>
      <c r="BD35" s="727">
        <f t="shared" si="27"/>
        <v>56929566.480000004</v>
      </c>
      <c r="BE35" s="727">
        <f t="shared" si="27"/>
        <v>56929566.480000004</v>
      </c>
      <c r="BF35" s="727">
        <f t="shared" si="27"/>
        <v>56929566.480000004</v>
      </c>
      <c r="BG35" s="727">
        <f t="shared" si="27"/>
        <v>56929566.480000004</v>
      </c>
      <c r="BH35" s="727">
        <f t="shared" si="27"/>
        <v>56929566.480000004</v>
      </c>
      <c r="BI35" s="727">
        <f t="shared" si="27"/>
        <v>56929566.480000004</v>
      </c>
      <c r="BJ35" s="727">
        <f t="shared" si="27"/>
        <v>56929566.480000004</v>
      </c>
      <c r="BK35" s="727">
        <f t="shared" si="27"/>
        <v>56929566.480000004</v>
      </c>
      <c r="BL35" s="727">
        <f t="shared" si="27"/>
        <v>56929566.480000004</v>
      </c>
      <c r="BM35" s="727">
        <f t="shared" si="27"/>
        <v>56929566.480000004</v>
      </c>
      <c r="BN35" s="727">
        <f t="shared" si="27"/>
        <v>56929566.480000004</v>
      </c>
      <c r="BO35" s="727">
        <f t="shared" si="27"/>
        <v>56929566.480000004</v>
      </c>
      <c r="BP35" s="727">
        <f t="shared" si="27"/>
        <v>56929566.480000004</v>
      </c>
      <c r="BQ35" s="727">
        <f t="shared" si="27"/>
        <v>56929566.480000004</v>
      </c>
      <c r="BR35" s="727">
        <f t="shared" si="27"/>
        <v>56929566.480000004</v>
      </c>
      <c r="BS35" s="727">
        <f t="shared" ref="BS35:CL35" si="28">$D$35*BS16</f>
        <v>56929566.480000004</v>
      </c>
      <c r="BT35" s="727">
        <f t="shared" si="28"/>
        <v>56929566.480000004</v>
      </c>
      <c r="BU35" s="727">
        <f t="shared" si="28"/>
        <v>56929566.480000004</v>
      </c>
      <c r="BV35" s="727">
        <f t="shared" si="28"/>
        <v>56929566.480000004</v>
      </c>
      <c r="BW35" s="727">
        <f t="shared" si="28"/>
        <v>56929566.480000004</v>
      </c>
      <c r="BX35" s="727">
        <f t="shared" si="28"/>
        <v>56929566.480000004</v>
      </c>
      <c r="BY35" s="727">
        <f t="shared" si="28"/>
        <v>56929566.480000004</v>
      </c>
      <c r="BZ35" s="727">
        <f t="shared" si="28"/>
        <v>56929566.480000004</v>
      </c>
      <c r="CA35" s="727">
        <f t="shared" si="28"/>
        <v>56929566.480000004</v>
      </c>
      <c r="CB35" s="727">
        <f t="shared" si="28"/>
        <v>56929566.480000004</v>
      </c>
      <c r="CC35" s="727">
        <f t="shared" si="28"/>
        <v>56929566.480000004</v>
      </c>
      <c r="CD35" s="727">
        <f t="shared" si="28"/>
        <v>56929566.480000004</v>
      </c>
      <c r="CE35" s="727">
        <f t="shared" si="28"/>
        <v>56929566.480000004</v>
      </c>
      <c r="CF35" s="727">
        <f t="shared" si="28"/>
        <v>56929566.480000004</v>
      </c>
      <c r="CG35" s="727">
        <f t="shared" si="28"/>
        <v>56929566.480000004</v>
      </c>
      <c r="CH35" s="727">
        <f t="shared" si="28"/>
        <v>56929566.480000004</v>
      </c>
      <c r="CI35" s="727">
        <f t="shared" si="28"/>
        <v>56929566.480000004</v>
      </c>
      <c r="CJ35" s="727">
        <f t="shared" si="28"/>
        <v>56929566.480000004</v>
      </c>
      <c r="CK35" s="727">
        <f t="shared" si="28"/>
        <v>56929566.480000004</v>
      </c>
      <c r="CL35" s="726">
        <f t="shared" si="28"/>
        <v>56929566.480000004</v>
      </c>
      <c r="CM35" s="685">
        <f t="shared" si="0"/>
        <v>56929566.479999959</v>
      </c>
      <c r="CN35" s="731" t="s">
        <v>320</v>
      </c>
      <c r="CO35" s="731">
        <v>2198.1265252613698</v>
      </c>
      <c r="CP35" s="731">
        <v>2198.1265252613698</v>
      </c>
      <c r="CQ35" s="731">
        <v>2198.1265252613698</v>
      </c>
      <c r="CR35" s="731">
        <v>2198.1265252613698</v>
      </c>
      <c r="CS35" s="731">
        <v>2198.1265252613698</v>
      </c>
      <c r="CT35" s="731">
        <v>2198.1265252613698</v>
      </c>
      <c r="CU35" s="731">
        <v>2198.1265252613698</v>
      </c>
      <c r="CV35" s="731">
        <v>2198.1265252613698</v>
      </c>
      <c r="CW35" s="731">
        <v>2204.6719970040999</v>
      </c>
      <c r="CX35" s="731">
        <v>2198.1265252613698</v>
      </c>
      <c r="CY35" s="731">
        <v>2204.6719970040999</v>
      </c>
      <c r="CZ35" s="731">
        <v>2211.21746874684</v>
      </c>
      <c r="DA35" s="731">
        <v>2217.7629404895802</v>
      </c>
      <c r="DB35" s="731">
        <v>2224.3084122323098</v>
      </c>
      <c r="DC35" s="731">
        <v>2230.8538839750499</v>
      </c>
      <c r="DD35" s="731">
        <v>2237.3993557177901</v>
      </c>
      <c r="DE35" s="731">
        <v>2243.9448274605202</v>
      </c>
      <c r="DF35" s="731">
        <v>2250.4902992032598</v>
      </c>
      <c r="DG35" s="731">
        <v>2257.03577094599</v>
      </c>
      <c r="DH35" s="731">
        <v>2263.5812426887301</v>
      </c>
      <c r="DI35" s="731">
        <v>2270.1267144314702</v>
      </c>
      <c r="DJ35" s="731">
        <v>2276.6721861741999</v>
      </c>
      <c r="DK35" s="731">
        <v>2283.21765791694</v>
      </c>
      <c r="DL35" s="731">
        <v>2289.7631296596801</v>
      </c>
      <c r="DM35" s="731">
        <v>2296.3086014024102</v>
      </c>
      <c r="DN35" s="731">
        <v>2302.8540731451499</v>
      </c>
      <c r="DO35" s="731">
        <v>2309.39954488788</v>
      </c>
      <c r="DP35" s="731">
        <v>2315.9450166306201</v>
      </c>
      <c r="DQ35" s="731">
        <v>2322.4904883733602</v>
      </c>
      <c r="DR35" s="731">
        <v>2329.0359601160899</v>
      </c>
      <c r="DS35" s="731">
        <v>2335.58143185883</v>
      </c>
      <c r="DT35" s="731">
        <v>2342.1269036015701</v>
      </c>
      <c r="DU35" s="731">
        <v>2348.6723753442998</v>
      </c>
      <c r="DV35" s="731">
        <v>2355.2178470870399</v>
      </c>
      <c r="DW35" s="731">
        <v>2361.76331882977</v>
      </c>
      <c r="DX35" s="731">
        <v>2368.3087905725101</v>
      </c>
      <c r="DY35" s="731">
        <v>2374.8542623152498</v>
      </c>
      <c r="DZ35" s="731">
        <v>2381.3997340579799</v>
      </c>
      <c r="EA35" s="731">
        <v>2387.94520580072</v>
      </c>
      <c r="EB35" s="731">
        <v>2394.4906775434602</v>
      </c>
      <c r="EC35" s="731">
        <v>1659</v>
      </c>
      <c r="ED35" s="731">
        <v>2237</v>
      </c>
      <c r="EE35" s="731">
        <v>2255.1410444563789</v>
      </c>
      <c r="EF35" s="731">
        <v>2146.2487431145209</v>
      </c>
      <c r="EG35" s="731">
        <v>2418.3910474276554</v>
      </c>
      <c r="EH35" s="731">
        <v>2701.6199743644243</v>
      </c>
      <c r="EI35" s="731">
        <v>2777.0407045596344</v>
      </c>
      <c r="EJ35" s="731">
        <v>2836.6205896021006</v>
      </c>
      <c r="EK35" s="731">
        <v>2780.2581602607625</v>
      </c>
      <c r="EL35" s="731">
        <v>3053.926570501239</v>
      </c>
      <c r="EM35" s="731">
        <v>2836.1664048306907</v>
      </c>
      <c r="EN35" s="731">
        <v>2611.932049598453</v>
      </c>
      <c r="EO35" s="731">
        <v>2577.919484614094</v>
      </c>
      <c r="EP35" s="731">
        <v>2856.2006891112787</v>
      </c>
      <c r="EQ35" s="731">
        <v>2469.3423214225581</v>
      </c>
      <c r="ER35" s="731">
        <v>2091.94</v>
      </c>
      <c r="ES35" s="731">
        <v>2025.12</v>
      </c>
      <c r="ET35" s="731">
        <v>2197.69</v>
      </c>
      <c r="EU35" s="731">
        <v>2450.21</v>
      </c>
      <c r="EV35" s="731">
        <v>2188.85</v>
      </c>
      <c r="EW35" s="731">
        <v>2098.58</v>
      </c>
      <c r="EX35" s="731">
        <v>2650.93</v>
      </c>
      <c r="EY35" s="731">
        <v>2588.92</v>
      </c>
      <c r="EZ35" s="731">
        <v>2922.37</v>
      </c>
      <c r="FA35" s="731">
        <v>2398.6999999999998</v>
      </c>
      <c r="FB35" s="731">
        <v>2269.4</v>
      </c>
      <c r="FC35" s="731">
        <v>1425.69</v>
      </c>
      <c r="FD35" s="731">
        <v>1908.42</v>
      </c>
      <c r="FE35" s="731">
        <v>1785.56</v>
      </c>
      <c r="FF35" s="731">
        <v>1111.8399999999999</v>
      </c>
      <c r="FG35" s="731">
        <v>1033.04</v>
      </c>
      <c r="FH35" s="731">
        <v>1321.01</v>
      </c>
      <c r="FI35" s="731">
        <v>1668.98</v>
      </c>
      <c r="FJ35" s="731">
        <v>1783.8</v>
      </c>
      <c r="FK35" s="731">
        <v>2035.2</v>
      </c>
      <c r="FL35" s="731">
        <v>2259.19</v>
      </c>
      <c r="FM35" s="731">
        <v>2699.1</v>
      </c>
      <c r="FN35" s="731">
        <v>3294.54</v>
      </c>
      <c r="FO35" s="731">
        <v>2840.46</v>
      </c>
      <c r="FP35" s="731">
        <v>2266.15</v>
      </c>
      <c r="FQ35" s="731">
        <v>2243.14</v>
      </c>
      <c r="FR35" s="731">
        <v>2506.4699999999998</v>
      </c>
      <c r="FS35" s="731">
        <v>2911.57</v>
      </c>
      <c r="FT35" s="731">
        <v>3467.2</v>
      </c>
      <c r="FU35" s="731">
        <v>3800.16</v>
      </c>
      <c r="FV35" s="732">
        <f t="shared" si="26"/>
        <v>2365.8008396414175</v>
      </c>
      <c r="FW35" s="312"/>
    </row>
    <row r="36" spans="1:179">
      <c r="A36" s="1028"/>
      <c r="B36" s="686" t="s">
        <v>307</v>
      </c>
      <c r="C36" s="687" t="s">
        <v>313</v>
      </c>
      <c r="D36" s="687">
        <v>0.51</v>
      </c>
      <c r="E36" s="1029"/>
      <c r="F36" s="726" t="s">
        <v>132</v>
      </c>
      <c r="G36" s="683">
        <f t="shared" ref="G36:BR36" si="29">$D$36*G16</f>
        <v>56451.39</v>
      </c>
      <c r="H36" s="683">
        <f t="shared" si="29"/>
        <v>56451.39</v>
      </c>
      <c r="I36" s="683">
        <f t="shared" si="29"/>
        <v>56451.39</v>
      </c>
      <c r="J36" s="683">
        <f t="shared" si="29"/>
        <v>56451.39</v>
      </c>
      <c r="K36" s="683">
        <f t="shared" si="29"/>
        <v>56451.39</v>
      </c>
      <c r="L36" s="683">
        <f t="shared" si="29"/>
        <v>56451.39</v>
      </c>
      <c r="M36" s="683">
        <f t="shared" si="29"/>
        <v>56451.39</v>
      </c>
      <c r="N36" s="683">
        <f t="shared" si="29"/>
        <v>56451.39</v>
      </c>
      <c r="O36" s="683">
        <f t="shared" si="29"/>
        <v>56451.39</v>
      </c>
      <c r="P36" s="683">
        <f t="shared" si="29"/>
        <v>56451.39</v>
      </c>
      <c r="Q36" s="683">
        <f t="shared" si="29"/>
        <v>56451.39</v>
      </c>
      <c r="R36" s="683">
        <f t="shared" si="29"/>
        <v>56451.39</v>
      </c>
      <c r="S36" s="683">
        <f t="shared" si="29"/>
        <v>56451.39</v>
      </c>
      <c r="T36" s="683">
        <f t="shared" si="29"/>
        <v>56451.39</v>
      </c>
      <c r="U36" s="683">
        <f t="shared" si="29"/>
        <v>56451.39</v>
      </c>
      <c r="V36" s="683">
        <f t="shared" si="29"/>
        <v>56451.39</v>
      </c>
      <c r="W36" s="683">
        <f t="shared" si="29"/>
        <v>56451.39</v>
      </c>
      <c r="X36" s="683">
        <f t="shared" si="29"/>
        <v>56451.39</v>
      </c>
      <c r="Y36" s="683">
        <f t="shared" si="29"/>
        <v>56451.39</v>
      </c>
      <c r="Z36" s="683">
        <f t="shared" si="29"/>
        <v>56451.39</v>
      </c>
      <c r="AA36" s="683">
        <f t="shared" si="29"/>
        <v>56451.39</v>
      </c>
      <c r="AB36" s="683">
        <f t="shared" si="29"/>
        <v>56451.39</v>
      </c>
      <c r="AC36" s="683">
        <f t="shared" si="29"/>
        <v>56451.39</v>
      </c>
      <c r="AD36" s="683">
        <f t="shared" si="29"/>
        <v>56451.39</v>
      </c>
      <c r="AE36" s="683">
        <f t="shared" si="29"/>
        <v>56451.39</v>
      </c>
      <c r="AF36" s="683">
        <f t="shared" si="29"/>
        <v>56451.39</v>
      </c>
      <c r="AG36" s="683">
        <f t="shared" si="29"/>
        <v>56451.39</v>
      </c>
      <c r="AH36" s="683">
        <f t="shared" si="29"/>
        <v>56451.39</v>
      </c>
      <c r="AI36" s="683">
        <f t="shared" si="29"/>
        <v>56451.39</v>
      </c>
      <c r="AJ36" s="683">
        <f t="shared" si="29"/>
        <v>56451.39</v>
      </c>
      <c r="AK36" s="683">
        <f t="shared" si="29"/>
        <v>56451.39</v>
      </c>
      <c r="AL36" s="683">
        <f t="shared" si="29"/>
        <v>56451.39</v>
      </c>
      <c r="AM36" s="683">
        <f t="shared" si="29"/>
        <v>56451.39</v>
      </c>
      <c r="AN36" s="683">
        <f t="shared" si="29"/>
        <v>56451.39</v>
      </c>
      <c r="AO36" s="683">
        <f t="shared" si="29"/>
        <v>56451.39</v>
      </c>
      <c r="AP36" s="683">
        <f t="shared" si="29"/>
        <v>56451.39</v>
      </c>
      <c r="AQ36" s="683">
        <f t="shared" si="29"/>
        <v>56451.39</v>
      </c>
      <c r="AR36" s="683">
        <f t="shared" si="29"/>
        <v>56451.39</v>
      </c>
      <c r="AS36" s="683">
        <f t="shared" si="29"/>
        <v>56451.39</v>
      </c>
      <c r="AT36" s="683">
        <f t="shared" si="29"/>
        <v>56451.39</v>
      </c>
      <c r="AU36" s="727">
        <f t="shared" si="29"/>
        <v>56451.39</v>
      </c>
      <c r="AV36" s="727">
        <f t="shared" si="29"/>
        <v>56451.39</v>
      </c>
      <c r="AW36" s="727">
        <f t="shared" si="29"/>
        <v>56451.39</v>
      </c>
      <c r="AX36" s="727">
        <f t="shared" si="29"/>
        <v>56451.39</v>
      </c>
      <c r="AY36" s="727">
        <f t="shared" si="29"/>
        <v>56451.39</v>
      </c>
      <c r="AZ36" s="727">
        <f t="shared" si="29"/>
        <v>56451.39</v>
      </c>
      <c r="BA36" s="727">
        <f t="shared" si="29"/>
        <v>56451.39</v>
      </c>
      <c r="BB36" s="727">
        <f t="shared" si="29"/>
        <v>56451.39</v>
      </c>
      <c r="BC36" s="727">
        <f t="shared" si="29"/>
        <v>56451.39</v>
      </c>
      <c r="BD36" s="727">
        <f t="shared" si="29"/>
        <v>56451.39</v>
      </c>
      <c r="BE36" s="727">
        <f t="shared" si="29"/>
        <v>56451.39</v>
      </c>
      <c r="BF36" s="727">
        <f t="shared" si="29"/>
        <v>56451.39</v>
      </c>
      <c r="BG36" s="727">
        <f t="shared" si="29"/>
        <v>56451.39</v>
      </c>
      <c r="BH36" s="727">
        <f t="shared" si="29"/>
        <v>56451.39</v>
      </c>
      <c r="BI36" s="727">
        <f t="shared" si="29"/>
        <v>56451.39</v>
      </c>
      <c r="BJ36" s="727">
        <f t="shared" si="29"/>
        <v>56451.39</v>
      </c>
      <c r="BK36" s="727">
        <f t="shared" si="29"/>
        <v>56451.39</v>
      </c>
      <c r="BL36" s="727">
        <f t="shared" si="29"/>
        <v>56451.39</v>
      </c>
      <c r="BM36" s="727">
        <f t="shared" si="29"/>
        <v>56451.39</v>
      </c>
      <c r="BN36" s="727">
        <f t="shared" si="29"/>
        <v>56451.39</v>
      </c>
      <c r="BO36" s="727">
        <f t="shared" si="29"/>
        <v>56451.39</v>
      </c>
      <c r="BP36" s="727">
        <f t="shared" si="29"/>
        <v>56451.39</v>
      </c>
      <c r="BQ36" s="727">
        <f t="shared" si="29"/>
        <v>56451.39</v>
      </c>
      <c r="BR36" s="727">
        <f t="shared" si="29"/>
        <v>56451.39</v>
      </c>
      <c r="BS36" s="727">
        <f t="shared" ref="BS36:CL36" si="30">$D$36*BS16</f>
        <v>56451.39</v>
      </c>
      <c r="BT36" s="727">
        <f t="shared" si="30"/>
        <v>56451.39</v>
      </c>
      <c r="BU36" s="727">
        <f t="shared" si="30"/>
        <v>56451.39</v>
      </c>
      <c r="BV36" s="727">
        <f t="shared" si="30"/>
        <v>56451.39</v>
      </c>
      <c r="BW36" s="727">
        <f t="shared" si="30"/>
        <v>56451.39</v>
      </c>
      <c r="BX36" s="727">
        <f t="shared" si="30"/>
        <v>56451.39</v>
      </c>
      <c r="BY36" s="727">
        <f t="shared" si="30"/>
        <v>56451.39</v>
      </c>
      <c r="BZ36" s="727">
        <f t="shared" si="30"/>
        <v>56451.39</v>
      </c>
      <c r="CA36" s="727">
        <f t="shared" si="30"/>
        <v>56451.39</v>
      </c>
      <c r="CB36" s="727">
        <f t="shared" si="30"/>
        <v>56451.39</v>
      </c>
      <c r="CC36" s="727">
        <f t="shared" si="30"/>
        <v>56451.39</v>
      </c>
      <c r="CD36" s="727">
        <f t="shared" si="30"/>
        <v>56451.39</v>
      </c>
      <c r="CE36" s="727">
        <f t="shared" si="30"/>
        <v>56451.39</v>
      </c>
      <c r="CF36" s="727">
        <f t="shared" si="30"/>
        <v>56451.39</v>
      </c>
      <c r="CG36" s="727">
        <f t="shared" si="30"/>
        <v>56451.39</v>
      </c>
      <c r="CH36" s="727">
        <f t="shared" si="30"/>
        <v>56451.39</v>
      </c>
      <c r="CI36" s="727">
        <f t="shared" si="30"/>
        <v>56451.39</v>
      </c>
      <c r="CJ36" s="727">
        <f t="shared" si="30"/>
        <v>56451.39</v>
      </c>
      <c r="CK36" s="727">
        <f t="shared" si="30"/>
        <v>56451.39</v>
      </c>
      <c r="CL36" s="726">
        <f t="shared" si="30"/>
        <v>56451.39</v>
      </c>
      <c r="CM36" s="685">
        <f t="shared" si="0"/>
        <v>56451.39</v>
      </c>
      <c r="CN36" s="731" t="s">
        <v>321</v>
      </c>
      <c r="CO36" s="731">
        <v>36.979805128205101</v>
      </c>
      <c r="CP36" s="731">
        <v>36.979805128205101</v>
      </c>
      <c r="CQ36" s="731">
        <v>36.979805128205101</v>
      </c>
      <c r="CR36" s="731">
        <v>36.979805128205101</v>
      </c>
      <c r="CS36" s="731">
        <v>36.979805128205101</v>
      </c>
      <c r="CT36" s="731">
        <v>36.979805128205101</v>
      </c>
      <c r="CU36" s="731">
        <v>36.979805128205101</v>
      </c>
      <c r="CV36" s="731">
        <v>36.979805128205101</v>
      </c>
      <c r="CW36" s="731">
        <v>37.756290598290597</v>
      </c>
      <c r="CX36" s="731">
        <v>36.979805128205101</v>
      </c>
      <c r="CY36" s="731">
        <v>37.756290598290597</v>
      </c>
      <c r="CZ36" s="731">
        <v>38.532776068376101</v>
      </c>
      <c r="DA36" s="731">
        <v>39.309261538461499</v>
      </c>
      <c r="DB36" s="731">
        <v>40.085747008547003</v>
      </c>
      <c r="DC36" s="731">
        <v>40.8622324786325</v>
      </c>
      <c r="DD36" s="731">
        <v>41.638717948718003</v>
      </c>
      <c r="DE36" s="731">
        <v>42.415203418803401</v>
      </c>
      <c r="DF36" s="731">
        <v>43.191688888888898</v>
      </c>
      <c r="DG36" s="731">
        <v>43.968174358974402</v>
      </c>
      <c r="DH36" s="731">
        <v>44.744659829059799</v>
      </c>
      <c r="DI36" s="731">
        <v>45.521145299145303</v>
      </c>
      <c r="DJ36" s="731">
        <v>46.2976307692308</v>
      </c>
      <c r="DK36" s="731">
        <v>47.074116239316197</v>
      </c>
      <c r="DL36" s="731">
        <v>47.850601709401701</v>
      </c>
      <c r="DM36" s="731">
        <v>48.627087179487198</v>
      </c>
      <c r="DN36" s="731">
        <v>49.403572649572702</v>
      </c>
      <c r="DO36" s="731">
        <v>50.180058119658099</v>
      </c>
      <c r="DP36" s="731">
        <v>50.956543589743603</v>
      </c>
      <c r="DQ36" s="731">
        <v>51.7330290598291</v>
      </c>
      <c r="DR36" s="731">
        <v>52.509514529914497</v>
      </c>
      <c r="DS36" s="731">
        <v>53.286000000000001</v>
      </c>
      <c r="DT36" s="731">
        <v>54.062485470085498</v>
      </c>
      <c r="DU36" s="731">
        <v>54.838970940170903</v>
      </c>
      <c r="DV36" s="731">
        <v>55.6154564102564</v>
      </c>
      <c r="DW36" s="731">
        <v>56.391941880341903</v>
      </c>
      <c r="DX36" s="731">
        <v>57.1684273504274</v>
      </c>
      <c r="DY36" s="731">
        <v>57.944912820512798</v>
      </c>
      <c r="DZ36" s="731">
        <v>58.721398290598302</v>
      </c>
      <c r="EA36" s="731">
        <v>59.497883760683798</v>
      </c>
      <c r="EB36" s="731">
        <v>60.274369230769203</v>
      </c>
      <c r="EC36" s="731">
        <v>56.1</v>
      </c>
      <c r="ED36" s="731">
        <v>57.6</v>
      </c>
      <c r="EE36" s="731">
        <v>55.7</v>
      </c>
      <c r="EF36" s="731">
        <v>59.95</v>
      </c>
      <c r="EG36" s="731">
        <v>68.569999999999993</v>
      </c>
      <c r="EH36" s="731">
        <v>79.7</v>
      </c>
      <c r="EI36" s="731">
        <v>85.01</v>
      </c>
      <c r="EJ36" s="731">
        <v>73.42</v>
      </c>
      <c r="EK36" s="731">
        <v>68.25</v>
      </c>
      <c r="EL36" s="731">
        <v>53.25</v>
      </c>
      <c r="EM36" s="731">
        <v>65.459999999999994</v>
      </c>
      <c r="EN36" s="731">
        <v>60.93</v>
      </c>
      <c r="EO36" s="731">
        <v>59.7</v>
      </c>
      <c r="EP36" s="731">
        <v>58.94</v>
      </c>
      <c r="EQ36" s="731">
        <v>57.95</v>
      </c>
      <c r="ER36" s="731">
        <v>78.48</v>
      </c>
      <c r="ES36" s="731">
        <v>82.51</v>
      </c>
      <c r="ET36" s="731">
        <v>83.6</v>
      </c>
      <c r="EU36" s="731">
        <v>102.15</v>
      </c>
      <c r="EV36" s="731">
        <v>74.58</v>
      </c>
      <c r="EW36" s="731">
        <v>78.45</v>
      </c>
      <c r="EX36" s="731">
        <v>76.87</v>
      </c>
      <c r="EY36" s="731">
        <v>82.39</v>
      </c>
      <c r="EZ36" s="731">
        <v>77.88</v>
      </c>
      <c r="FA36" s="731">
        <v>75.39</v>
      </c>
      <c r="FB36" s="731">
        <v>66.849999999999994</v>
      </c>
      <c r="FC36" s="731">
        <v>64.58</v>
      </c>
      <c r="FD36" s="731">
        <v>84.97</v>
      </c>
      <c r="FE36" s="731">
        <v>78.069999999999993</v>
      </c>
      <c r="FF36" s="731">
        <v>71.17</v>
      </c>
      <c r="FG36" s="731">
        <v>68.23</v>
      </c>
      <c r="FH36" s="731">
        <v>69.2</v>
      </c>
      <c r="FI36" s="731">
        <v>71.16</v>
      </c>
      <c r="FJ36" s="731">
        <v>82.9</v>
      </c>
      <c r="FK36" s="731">
        <v>88.88</v>
      </c>
      <c r="FL36" s="731">
        <v>80.14</v>
      </c>
      <c r="FM36" s="731">
        <v>89.43</v>
      </c>
      <c r="FN36" s="731">
        <v>102.78</v>
      </c>
      <c r="FO36" s="731">
        <v>102.25</v>
      </c>
      <c r="FP36" s="731">
        <v>100.32</v>
      </c>
      <c r="FQ36" s="731">
        <v>81.34</v>
      </c>
      <c r="FR36" s="731">
        <v>90.67</v>
      </c>
      <c r="FS36" s="731">
        <v>91.86</v>
      </c>
      <c r="FT36" s="731">
        <v>95.99</v>
      </c>
      <c r="FU36" s="731">
        <v>94.95</v>
      </c>
      <c r="FV36" s="732">
        <f t="shared" si="26"/>
        <v>76.634888888888895</v>
      </c>
      <c r="FW36" s="312"/>
    </row>
    <row r="37" spans="1:179" ht="21.75" customHeight="1">
      <c r="A37" s="1028"/>
      <c r="B37" s="686" t="s">
        <v>307</v>
      </c>
      <c r="C37" s="687" t="s">
        <v>322</v>
      </c>
      <c r="D37" s="687">
        <v>0.14000000000000001</v>
      </c>
      <c r="E37" s="1029"/>
      <c r="F37" s="726" t="s">
        <v>131</v>
      </c>
      <c r="G37" s="683">
        <f t="shared" ref="G37:BR37" si="31">$D$37*G16</f>
        <v>15496.460000000001</v>
      </c>
      <c r="H37" s="683">
        <f t="shared" si="31"/>
        <v>15496.460000000001</v>
      </c>
      <c r="I37" s="683">
        <f t="shared" si="31"/>
        <v>15496.460000000001</v>
      </c>
      <c r="J37" s="683">
        <f t="shared" si="31"/>
        <v>15496.460000000001</v>
      </c>
      <c r="K37" s="683">
        <f t="shared" si="31"/>
        <v>15496.460000000001</v>
      </c>
      <c r="L37" s="683">
        <f t="shared" si="31"/>
        <v>15496.460000000001</v>
      </c>
      <c r="M37" s="683">
        <f t="shared" si="31"/>
        <v>15496.460000000001</v>
      </c>
      <c r="N37" s="683">
        <f t="shared" si="31"/>
        <v>15496.460000000001</v>
      </c>
      <c r="O37" s="683">
        <f t="shared" si="31"/>
        <v>15496.460000000001</v>
      </c>
      <c r="P37" s="683">
        <f t="shared" si="31"/>
        <v>15496.460000000001</v>
      </c>
      <c r="Q37" s="683">
        <f t="shared" si="31"/>
        <v>15496.460000000001</v>
      </c>
      <c r="R37" s="683">
        <f t="shared" si="31"/>
        <v>15496.460000000001</v>
      </c>
      <c r="S37" s="683">
        <f t="shared" si="31"/>
        <v>15496.460000000001</v>
      </c>
      <c r="T37" s="683">
        <f t="shared" si="31"/>
        <v>15496.460000000001</v>
      </c>
      <c r="U37" s="683">
        <f t="shared" si="31"/>
        <v>15496.460000000001</v>
      </c>
      <c r="V37" s="683">
        <f t="shared" si="31"/>
        <v>15496.460000000001</v>
      </c>
      <c r="W37" s="683">
        <f t="shared" si="31"/>
        <v>15496.460000000001</v>
      </c>
      <c r="X37" s="683">
        <f t="shared" si="31"/>
        <v>15496.460000000001</v>
      </c>
      <c r="Y37" s="683">
        <f t="shared" si="31"/>
        <v>15496.460000000001</v>
      </c>
      <c r="Z37" s="683">
        <f t="shared" si="31"/>
        <v>15496.460000000001</v>
      </c>
      <c r="AA37" s="683">
        <f t="shared" si="31"/>
        <v>15496.460000000001</v>
      </c>
      <c r="AB37" s="683">
        <f t="shared" si="31"/>
        <v>15496.460000000001</v>
      </c>
      <c r="AC37" s="683">
        <f t="shared" si="31"/>
        <v>15496.460000000001</v>
      </c>
      <c r="AD37" s="683">
        <f t="shared" si="31"/>
        <v>15496.460000000001</v>
      </c>
      <c r="AE37" s="683">
        <f t="shared" si="31"/>
        <v>15496.460000000001</v>
      </c>
      <c r="AF37" s="683">
        <f t="shared" si="31"/>
        <v>15496.460000000001</v>
      </c>
      <c r="AG37" s="683">
        <f t="shared" si="31"/>
        <v>15496.460000000001</v>
      </c>
      <c r="AH37" s="683">
        <f t="shared" si="31"/>
        <v>15496.460000000001</v>
      </c>
      <c r="AI37" s="683">
        <f t="shared" si="31"/>
        <v>15496.460000000001</v>
      </c>
      <c r="AJ37" s="683">
        <f t="shared" si="31"/>
        <v>15496.460000000001</v>
      </c>
      <c r="AK37" s="683">
        <f t="shared" si="31"/>
        <v>15496.460000000001</v>
      </c>
      <c r="AL37" s="683">
        <f t="shared" si="31"/>
        <v>15496.460000000001</v>
      </c>
      <c r="AM37" s="683">
        <f t="shared" si="31"/>
        <v>15496.460000000001</v>
      </c>
      <c r="AN37" s="683">
        <f t="shared" si="31"/>
        <v>15496.460000000001</v>
      </c>
      <c r="AO37" s="683">
        <f t="shared" si="31"/>
        <v>15496.460000000001</v>
      </c>
      <c r="AP37" s="683">
        <f t="shared" si="31"/>
        <v>15496.460000000001</v>
      </c>
      <c r="AQ37" s="683">
        <f t="shared" si="31"/>
        <v>15496.460000000001</v>
      </c>
      <c r="AR37" s="683">
        <f t="shared" si="31"/>
        <v>15496.460000000001</v>
      </c>
      <c r="AS37" s="683">
        <f t="shared" si="31"/>
        <v>15496.460000000001</v>
      </c>
      <c r="AT37" s="683">
        <f t="shared" si="31"/>
        <v>15496.460000000001</v>
      </c>
      <c r="AU37" s="727">
        <f t="shared" si="31"/>
        <v>15496.460000000001</v>
      </c>
      <c r="AV37" s="727">
        <f t="shared" si="31"/>
        <v>15496.460000000001</v>
      </c>
      <c r="AW37" s="727">
        <f t="shared" si="31"/>
        <v>15496.460000000001</v>
      </c>
      <c r="AX37" s="727">
        <f t="shared" si="31"/>
        <v>15496.460000000001</v>
      </c>
      <c r="AY37" s="727">
        <f t="shared" si="31"/>
        <v>15496.460000000001</v>
      </c>
      <c r="AZ37" s="727">
        <f t="shared" si="31"/>
        <v>15496.460000000001</v>
      </c>
      <c r="BA37" s="727">
        <f t="shared" si="31"/>
        <v>15496.460000000001</v>
      </c>
      <c r="BB37" s="727">
        <f t="shared" si="31"/>
        <v>15496.460000000001</v>
      </c>
      <c r="BC37" s="727">
        <f t="shared" si="31"/>
        <v>15496.460000000001</v>
      </c>
      <c r="BD37" s="727">
        <f t="shared" si="31"/>
        <v>15496.460000000001</v>
      </c>
      <c r="BE37" s="727">
        <f t="shared" si="31"/>
        <v>15496.460000000001</v>
      </c>
      <c r="BF37" s="727">
        <f t="shared" si="31"/>
        <v>15496.460000000001</v>
      </c>
      <c r="BG37" s="727">
        <f t="shared" si="31"/>
        <v>15496.460000000001</v>
      </c>
      <c r="BH37" s="727">
        <f t="shared" si="31"/>
        <v>15496.460000000001</v>
      </c>
      <c r="BI37" s="727">
        <f t="shared" si="31"/>
        <v>15496.460000000001</v>
      </c>
      <c r="BJ37" s="727">
        <f t="shared" si="31"/>
        <v>15496.460000000001</v>
      </c>
      <c r="BK37" s="727">
        <f t="shared" si="31"/>
        <v>15496.460000000001</v>
      </c>
      <c r="BL37" s="727">
        <f t="shared" si="31"/>
        <v>15496.460000000001</v>
      </c>
      <c r="BM37" s="727">
        <f t="shared" si="31"/>
        <v>15496.460000000001</v>
      </c>
      <c r="BN37" s="727">
        <f t="shared" si="31"/>
        <v>15496.460000000001</v>
      </c>
      <c r="BO37" s="727">
        <f t="shared" si="31"/>
        <v>15496.460000000001</v>
      </c>
      <c r="BP37" s="727">
        <f t="shared" si="31"/>
        <v>15496.460000000001</v>
      </c>
      <c r="BQ37" s="727">
        <f t="shared" si="31"/>
        <v>15496.460000000001</v>
      </c>
      <c r="BR37" s="727">
        <f t="shared" si="31"/>
        <v>15496.460000000001</v>
      </c>
      <c r="BS37" s="727">
        <f t="shared" ref="BS37:CL37" si="32">$D$37*BS16</f>
        <v>15496.460000000001</v>
      </c>
      <c r="BT37" s="727">
        <f t="shared" si="32"/>
        <v>15496.460000000001</v>
      </c>
      <c r="BU37" s="727">
        <f t="shared" si="32"/>
        <v>15496.460000000001</v>
      </c>
      <c r="BV37" s="727">
        <f t="shared" si="32"/>
        <v>15496.460000000001</v>
      </c>
      <c r="BW37" s="727">
        <f t="shared" si="32"/>
        <v>15496.460000000001</v>
      </c>
      <c r="BX37" s="727">
        <f t="shared" si="32"/>
        <v>15496.460000000001</v>
      </c>
      <c r="BY37" s="727">
        <f t="shared" si="32"/>
        <v>15496.460000000001</v>
      </c>
      <c r="BZ37" s="727">
        <f t="shared" si="32"/>
        <v>15496.460000000001</v>
      </c>
      <c r="CA37" s="727">
        <f t="shared" si="32"/>
        <v>15496.460000000001</v>
      </c>
      <c r="CB37" s="727">
        <f t="shared" si="32"/>
        <v>15496.460000000001</v>
      </c>
      <c r="CC37" s="727">
        <f t="shared" si="32"/>
        <v>15496.460000000001</v>
      </c>
      <c r="CD37" s="727">
        <f t="shared" si="32"/>
        <v>15496.460000000001</v>
      </c>
      <c r="CE37" s="727">
        <f t="shared" si="32"/>
        <v>15496.460000000001</v>
      </c>
      <c r="CF37" s="727">
        <f t="shared" si="32"/>
        <v>15496.460000000001</v>
      </c>
      <c r="CG37" s="727">
        <f t="shared" si="32"/>
        <v>15496.460000000001</v>
      </c>
      <c r="CH37" s="727">
        <f t="shared" si="32"/>
        <v>15496.460000000001</v>
      </c>
      <c r="CI37" s="727">
        <f t="shared" si="32"/>
        <v>15496.460000000001</v>
      </c>
      <c r="CJ37" s="727">
        <f t="shared" si="32"/>
        <v>15496.460000000001</v>
      </c>
      <c r="CK37" s="727">
        <f t="shared" si="32"/>
        <v>15496.460000000001</v>
      </c>
      <c r="CL37" s="726">
        <f t="shared" si="32"/>
        <v>15496.460000000001</v>
      </c>
      <c r="CM37" s="685">
        <f t="shared" si="0"/>
        <v>15496.459999999983</v>
      </c>
      <c r="CN37" s="731" t="s">
        <v>180</v>
      </c>
      <c r="CO37" s="731">
        <v>3.25</v>
      </c>
      <c r="CP37" s="731">
        <v>3.25</v>
      </c>
      <c r="CQ37" s="731">
        <v>3.25</v>
      </c>
      <c r="CR37" s="731">
        <v>3.25</v>
      </c>
      <c r="CS37" s="731">
        <v>3.25</v>
      </c>
      <c r="CT37" s="731">
        <v>3.5</v>
      </c>
      <c r="CU37" s="731">
        <v>3.5</v>
      </c>
      <c r="CV37" s="731">
        <v>3.5</v>
      </c>
      <c r="CW37" s="731">
        <v>3.5</v>
      </c>
      <c r="CX37" s="731">
        <v>3.5</v>
      </c>
      <c r="CY37" s="731">
        <v>3.5</v>
      </c>
      <c r="CZ37" s="731">
        <v>3.5</v>
      </c>
      <c r="DA37" s="731">
        <v>3.5</v>
      </c>
      <c r="DB37" s="731">
        <v>3.5</v>
      </c>
      <c r="DC37" s="731">
        <v>3.5</v>
      </c>
      <c r="DD37" s="731">
        <v>3.5</v>
      </c>
      <c r="DE37" s="731">
        <v>3.5574974358974401</v>
      </c>
      <c r="DF37" s="731">
        <v>3.5365333333333302</v>
      </c>
      <c r="DG37" s="731">
        <v>3.5155692307692301</v>
      </c>
      <c r="DH37" s="731">
        <v>3.49460512820513</v>
      </c>
      <c r="DI37" s="731">
        <v>3.4736410256410299</v>
      </c>
      <c r="DJ37" s="731">
        <v>3.4526769230769201</v>
      </c>
      <c r="DK37" s="731">
        <v>3.43171282051282</v>
      </c>
      <c r="DL37" s="731">
        <v>3.4107487179487199</v>
      </c>
      <c r="DM37" s="731">
        <v>3.3897846153846101</v>
      </c>
      <c r="DN37" s="731">
        <v>3.36882051282051</v>
      </c>
      <c r="DO37" s="731">
        <v>3.3478564102564099</v>
      </c>
      <c r="DP37" s="731">
        <v>3.3268923076923098</v>
      </c>
      <c r="DQ37" s="731">
        <v>3.3059282051282</v>
      </c>
      <c r="DR37" s="731">
        <v>3.2849641025640999</v>
      </c>
      <c r="DS37" s="731">
        <v>3.2639999999999998</v>
      </c>
      <c r="DT37" s="731">
        <v>3.2430358974359002</v>
      </c>
      <c r="DU37" s="731">
        <v>3.2220717948717899</v>
      </c>
      <c r="DV37" s="731">
        <v>3.2011076923076902</v>
      </c>
      <c r="DW37" s="731">
        <v>3.1801435897435901</v>
      </c>
      <c r="DX37" s="731">
        <v>3.15917948717949</v>
      </c>
      <c r="DY37" s="731">
        <v>3.1382153846153802</v>
      </c>
      <c r="DZ37" s="731">
        <v>3.1172512820512801</v>
      </c>
      <c r="EA37" s="731">
        <v>3.09628717948718</v>
      </c>
      <c r="EB37" s="731">
        <v>3.0753230769230799</v>
      </c>
      <c r="EC37" s="731">
        <v>2.19</v>
      </c>
      <c r="ED37" s="731">
        <v>3.16</v>
      </c>
      <c r="EE37" s="731">
        <v>3.15</v>
      </c>
      <c r="EF37" s="731">
        <v>2.71</v>
      </c>
      <c r="EG37" s="731">
        <v>2.67</v>
      </c>
      <c r="EH37" s="731">
        <v>2.98</v>
      </c>
      <c r="EI37" s="731">
        <v>3.6</v>
      </c>
      <c r="EJ37" s="731">
        <v>3.3</v>
      </c>
      <c r="EK37" s="731">
        <v>3.19</v>
      </c>
      <c r="EL37" s="731">
        <v>3.54</v>
      </c>
      <c r="EM37" s="731">
        <v>3.04</v>
      </c>
      <c r="EN37" s="731">
        <v>2.95</v>
      </c>
      <c r="EO37" s="731">
        <v>2.5499999999999998</v>
      </c>
      <c r="EP37" s="731">
        <v>3.17</v>
      </c>
      <c r="EQ37" s="731">
        <v>2.7</v>
      </c>
      <c r="ER37" s="731">
        <v>2.14</v>
      </c>
      <c r="ES37" s="731">
        <v>2.11</v>
      </c>
      <c r="ET37" s="731">
        <v>2.31</v>
      </c>
      <c r="EU37" s="731">
        <v>2.5499999999999998</v>
      </c>
      <c r="EV37" s="731">
        <v>2.8</v>
      </c>
      <c r="EW37" s="731">
        <v>2.42</v>
      </c>
      <c r="EX37" s="731">
        <v>2.8</v>
      </c>
      <c r="EY37" s="731">
        <v>2.73</v>
      </c>
      <c r="EZ37" s="731">
        <v>2.99</v>
      </c>
      <c r="FA37" s="731">
        <v>2.38</v>
      </c>
      <c r="FB37" s="731">
        <v>2.4700000000000002</v>
      </c>
      <c r="FC37" s="731">
        <v>1.66</v>
      </c>
      <c r="FD37" s="731">
        <v>2.34</v>
      </c>
      <c r="FE37" s="731">
        <v>2.73</v>
      </c>
      <c r="FF37" s="731">
        <v>1.44</v>
      </c>
      <c r="FG37" s="731">
        <v>1.22</v>
      </c>
      <c r="FH37" s="731">
        <v>1.58</v>
      </c>
      <c r="FI37" s="731">
        <v>2.04</v>
      </c>
      <c r="FJ37" s="731">
        <v>2.15</v>
      </c>
      <c r="FK37" s="731">
        <v>2.37</v>
      </c>
      <c r="FL37" s="731">
        <v>2.61</v>
      </c>
      <c r="FM37" s="731">
        <v>2.96</v>
      </c>
      <c r="FN37" s="731">
        <v>3.52</v>
      </c>
      <c r="FO37" s="731">
        <v>3.35</v>
      </c>
      <c r="FP37" s="731">
        <v>2.69</v>
      </c>
      <c r="FQ37" s="731">
        <v>2.57</v>
      </c>
      <c r="FR37" s="731">
        <v>2.83</v>
      </c>
      <c r="FS37" s="731">
        <v>3.48</v>
      </c>
      <c r="FT37" s="731">
        <v>3.56</v>
      </c>
      <c r="FU37" s="731">
        <v>3.74</v>
      </c>
      <c r="FV37" s="732">
        <f t="shared" si="26"/>
        <v>2.6986666666666661</v>
      </c>
      <c r="FW37" s="312"/>
    </row>
    <row r="38" spans="1:179">
      <c r="A38" s="1028"/>
      <c r="B38" s="686" t="s">
        <v>307</v>
      </c>
      <c r="C38" s="687" t="s">
        <v>323</v>
      </c>
      <c r="D38" s="687">
        <v>15.58</v>
      </c>
      <c r="E38" s="1029"/>
      <c r="F38" s="726" t="s">
        <v>130</v>
      </c>
      <c r="G38" s="683">
        <f t="shared" ref="G38:BR38" si="33">$D$38*G16</f>
        <v>1724534.62</v>
      </c>
      <c r="H38" s="683">
        <f t="shared" si="33"/>
        <v>1724534.62</v>
      </c>
      <c r="I38" s="683">
        <f t="shared" si="33"/>
        <v>1724534.62</v>
      </c>
      <c r="J38" s="683">
        <f t="shared" si="33"/>
        <v>1724534.62</v>
      </c>
      <c r="K38" s="683">
        <f t="shared" si="33"/>
        <v>1724534.62</v>
      </c>
      <c r="L38" s="683">
        <f t="shared" si="33"/>
        <v>1724534.62</v>
      </c>
      <c r="M38" s="683">
        <f t="shared" si="33"/>
        <v>1724534.62</v>
      </c>
      <c r="N38" s="683">
        <f t="shared" si="33"/>
        <v>1724534.62</v>
      </c>
      <c r="O38" s="683">
        <f t="shared" si="33"/>
        <v>1724534.62</v>
      </c>
      <c r="P38" s="683">
        <f t="shared" si="33"/>
        <v>1724534.62</v>
      </c>
      <c r="Q38" s="683">
        <f t="shared" si="33"/>
        <v>1724534.62</v>
      </c>
      <c r="R38" s="683">
        <f t="shared" si="33"/>
        <v>1724534.62</v>
      </c>
      <c r="S38" s="683">
        <f t="shared" si="33"/>
        <v>1724534.62</v>
      </c>
      <c r="T38" s="683">
        <f t="shared" si="33"/>
        <v>1724534.62</v>
      </c>
      <c r="U38" s="683">
        <f t="shared" si="33"/>
        <v>1724534.62</v>
      </c>
      <c r="V38" s="683">
        <f t="shared" si="33"/>
        <v>1724534.62</v>
      </c>
      <c r="W38" s="683">
        <f t="shared" si="33"/>
        <v>1724534.62</v>
      </c>
      <c r="X38" s="683">
        <f t="shared" si="33"/>
        <v>1724534.62</v>
      </c>
      <c r="Y38" s="683">
        <f t="shared" si="33"/>
        <v>1724534.62</v>
      </c>
      <c r="Z38" s="683">
        <f t="shared" si="33"/>
        <v>1724534.62</v>
      </c>
      <c r="AA38" s="683">
        <f t="shared" si="33"/>
        <v>1724534.62</v>
      </c>
      <c r="AB38" s="683">
        <f t="shared" si="33"/>
        <v>1724534.62</v>
      </c>
      <c r="AC38" s="683">
        <f t="shared" si="33"/>
        <v>1724534.62</v>
      </c>
      <c r="AD38" s="683">
        <f t="shared" si="33"/>
        <v>1724534.62</v>
      </c>
      <c r="AE38" s="683">
        <f t="shared" si="33"/>
        <v>1724534.62</v>
      </c>
      <c r="AF38" s="683">
        <f t="shared" si="33"/>
        <v>1724534.62</v>
      </c>
      <c r="AG38" s="683">
        <f t="shared" si="33"/>
        <v>1724534.62</v>
      </c>
      <c r="AH38" s="683">
        <f t="shared" si="33"/>
        <v>1724534.62</v>
      </c>
      <c r="AI38" s="683">
        <f t="shared" si="33"/>
        <v>1724534.62</v>
      </c>
      <c r="AJ38" s="683">
        <f t="shared" si="33"/>
        <v>1724534.62</v>
      </c>
      <c r="AK38" s="683">
        <f t="shared" si="33"/>
        <v>1724534.62</v>
      </c>
      <c r="AL38" s="683">
        <f t="shared" si="33"/>
        <v>1724534.62</v>
      </c>
      <c r="AM38" s="683">
        <f t="shared" si="33"/>
        <v>1724534.62</v>
      </c>
      <c r="AN38" s="683">
        <f t="shared" si="33"/>
        <v>1724534.62</v>
      </c>
      <c r="AO38" s="683">
        <f t="shared" si="33"/>
        <v>1724534.62</v>
      </c>
      <c r="AP38" s="683">
        <f t="shared" si="33"/>
        <v>1724534.62</v>
      </c>
      <c r="AQ38" s="683">
        <f t="shared" si="33"/>
        <v>1724534.62</v>
      </c>
      <c r="AR38" s="683">
        <f t="shared" si="33"/>
        <v>1724534.62</v>
      </c>
      <c r="AS38" s="683">
        <f t="shared" si="33"/>
        <v>1724534.62</v>
      </c>
      <c r="AT38" s="683">
        <f t="shared" si="33"/>
        <v>1724534.62</v>
      </c>
      <c r="AU38" s="727">
        <f t="shared" si="33"/>
        <v>1724534.62</v>
      </c>
      <c r="AV38" s="727">
        <f t="shared" si="33"/>
        <v>1724534.62</v>
      </c>
      <c r="AW38" s="727">
        <f t="shared" si="33"/>
        <v>1724534.62</v>
      </c>
      <c r="AX38" s="727">
        <f t="shared" si="33"/>
        <v>1724534.62</v>
      </c>
      <c r="AY38" s="727">
        <f t="shared" si="33"/>
        <v>1724534.62</v>
      </c>
      <c r="AZ38" s="727">
        <f t="shared" si="33"/>
        <v>1724534.62</v>
      </c>
      <c r="BA38" s="727">
        <f t="shared" si="33"/>
        <v>1724534.62</v>
      </c>
      <c r="BB38" s="727">
        <f t="shared" si="33"/>
        <v>1724534.62</v>
      </c>
      <c r="BC38" s="727">
        <f t="shared" si="33"/>
        <v>1724534.62</v>
      </c>
      <c r="BD38" s="727">
        <f t="shared" si="33"/>
        <v>1724534.62</v>
      </c>
      <c r="BE38" s="727">
        <f t="shared" si="33"/>
        <v>1724534.62</v>
      </c>
      <c r="BF38" s="727">
        <f t="shared" si="33"/>
        <v>1724534.62</v>
      </c>
      <c r="BG38" s="727">
        <f t="shared" si="33"/>
        <v>1724534.62</v>
      </c>
      <c r="BH38" s="727">
        <f t="shared" si="33"/>
        <v>1724534.62</v>
      </c>
      <c r="BI38" s="727">
        <f t="shared" si="33"/>
        <v>1724534.62</v>
      </c>
      <c r="BJ38" s="727">
        <f t="shared" si="33"/>
        <v>1724534.62</v>
      </c>
      <c r="BK38" s="727">
        <f t="shared" si="33"/>
        <v>1724534.62</v>
      </c>
      <c r="BL38" s="727">
        <f t="shared" si="33"/>
        <v>1724534.62</v>
      </c>
      <c r="BM38" s="727">
        <f t="shared" si="33"/>
        <v>1724534.62</v>
      </c>
      <c r="BN38" s="727">
        <f t="shared" si="33"/>
        <v>1724534.62</v>
      </c>
      <c r="BO38" s="727">
        <f t="shared" si="33"/>
        <v>1724534.62</v>
      </c>
      <c r="BP38" s="727">
        <f t="shared" si="33"/>
        <v>1724534.62</v>
      </c>
      <c r="BQ38" s="727">
        <f t="shared" si="33"/>
        <v>1724534.62</v>
      </c>
      <c r="BR38" s="727">
        <f t="shared" si="33"/>
        <v>1724534.62</v>
      </c>
      <c r="BS38" s="727">
        <f t="shared" ref="BS38:CL38" si="34">$D$38*BS16</f>
        <v>1724534.62</v>
      </c>
      <c r="BT38" s="727">
        <f t="shared" si="34"/>
        <v>1724534.62</v>
      </c>
      <c r="BU38" s="727">
        <f t="shared" si="34"/>
        <v>1724534.62</v>
      </c>
      <c r="BV38" s="727">
        <f t="shared" si="34"/>
        <v>1724534.62</v>
      </c>
      <c r="BW38" s="727">
        <f t="shared" si="34"/>
        <v>1724534.62</v>
      </c>
      <c r="BX38" s="727">
        <f t="shared" si="34"/>
        <v>1724534.62</v>
      </c>
      <c r="BY38" s="727">
        <f t="shared" si="34"/>
        <v>1724534.62</v>
      </c>
      <c r="BZ38" s="727">
        <f t="shared" si="34"/>
        <v>1724534.62</v>
      </c>
      <c r="CA38" s="727">
        <f t="shared" si="34"/>
        <v>1724534.62</v>
      </c>
      <c r="CB38" s="727">
        <f t="shared" si="34"/>
        <v>1724534.62</v>
      </c>
      <c r="CC38" s="727">
        <f t="shared" si="34"/>
        <v>1724534.62</v>
      </c>
      <c r="CD38" s="727">
        <f t="shared" si="34"/>
        <v>1724534.62</v>
      </c>
      <c r="CE38" s="727">
        <f t="shared" si="34"/>
        <v>1724534.62</v>
      </c>
      <c r="CF38" s="727">
        <f t="shared" si="34"/>
        <v>1724534.62</v>
      </c>
      <c r="CG38" s="727">
        <f t="shared" si="34"/>
        <v>1724534.62</v>
      </c>
      <c r="CH38" s="727">
        <f t="shared" si="34"/>
        <v>1724534.62</v>
      </c>
      <c r="CI38" s="727">
        <f t="shared" si="34"/>
        <v>1724534.62</v>
      </c>
      <c r="CJ38" s="727">
        <f t="shared" si="34"/>
        <v>1724534.62</v>
      </c>
      <c r="CK38" s="727">
        <f t="shared" si="34"/>
        <v>1724534.62</v>
      </c>
      <c r="CL38" s="726">
        <f t="shared" si="34"/>
        <v>1724534.62</v>
      </c>
      <c r="CM38" s="685">
        <f t="shared" si="0"/>
        <v>1724534.620000002</v>
      </c>
      <c r="CN38" s="733" t="s">
        <v>219</v>
      </c>
      <c r="CO38" s="734">
        <v>3</v>
      </c>
      <c r="CP38" s="734">
        <v>3</v>
      </c>
      <c r="CQ38" s="734">
        <v>3</v>
      </c>
      <c r="CR38" s="734">
        <v>3</v>
      </c>
      <c r="CS38" s="734">
        <v>3</v>
      </c>
      <c r="CT38" s="734">
        <v>3</v>
      </c>
      <c r="CU38" s="734">
        <v>3</v>
      </c>
      <c r="CV38" s="734">
        <v>3</v>
      </c>
      <c r="CW38" s="734">
        <v>3</v>
      </c>
      <c r="CX38" s="734">
        <v>3</v>
      </c>
      <c r="CY38" s="734">
        <v>3</v>
      </c>
      <c r="CZ38" s="734">
        <v>3</v>
      </c>
      <c r="DA38" s="734">
        <v>3</v>
      </c>
      <c r="DB38" s="734">
        <v>3</v>
      </c>
      <c r="DC38" s="734">
        <v>3</v>
      </c>
      <c r="DD38" s="734">
        <v>3</v>
      </c>
      <c r="DE38" s="734">
        <v>3</v>
      </c>
      <c r="DF38" s="734">
        <v>3</v>
      </c>
      <c r="DG38" s="734">
        <v>3</v>
      </c>
      <c r="DH38" s="734">
        <v>3</v>
      </c>
      <c r="DI38" s="734">
        <v>3</v>
      </c>
      <c r="DJ38" s="734">
        <v>3</v>
      </c>
      <c r="DK38" s="734">
        <v>3</v>
      </c>
      <c r="DL38" s="734">
        <v>3</v>
      </c>
      <c r="DM38" s="734">
        <v>3</v>
      </c>
      <c r="DN38" s="734">
        <v>3</v>
      </c>
      <c r="DO38" s="734">
        <v>3</v>
      </c>
      <c r="DP38" s="734">
        <v>3</v>
      </c>
      <c r="DQ38" s="734">
        <v>3</v>
      </c>
      <c r="DR38" s="734">
        <v>3</v>
      </c>
      <c r="DS38" s="734">
        <v>3</v>
      </c>
      <c r="DT38" s="734">
        <v>3</v>
      </c>
      <c r="DU38" s="734">
        <v>3</v>
      </c>
      <c r="DV38" s="734">
        <v>3</v>
      </c>
      <c r="DW38" s="734">
        <v>3</v>
      </c>
      <c r="DX38" s="734">
        <v>3</v>
      </c>
      <c r="DY38" s="734">
        <v>3</v>
      </c>
      <c r="DZ38" s="734">
        <v>3</v>
      </c>
      <c r="EA38" s="734">
        <v>3</v>
      </c>
      <c r="EB38" s="734">
        <v>3</v>
      </c>
      <c r="EC38" s="734">
        <v>3</v>
      </c>
      <c r="ED38" s="734">
        <v>3</v>
      </c>
      <c r="EE38" s="734">
        <v>3</v>
      </c>
      <c r="EF38" s="734">
        <v>3</v>
      </c>
      <c r="EG38" s="734">
        <v>3</v>
      </c>
      <c r="EH38" s="734">
        <v>3</v>
      </c>
      <c r="EI38" s="734">
        <v>3</v>
      </c>
      <c r="EJ38" s="734">
        <v>3</v>
      </c>
      <c r="EK38" s="734">
        <v>3</v>
      </c>
      <c r="EL38" s="734">
        <v>3</v>
      </c>
      <c r="EM38" s="734">
        <v>3</v>
      </c>
      <c r="EN38" s="734">
        <v>3</v>
      </c>
      <c r="EO38" s="734">
        <v>3</v>
      </c>
      <c r="EP38" s="734">
        <v>3</v>
      </c>
      <c r="EQ38" s="734">
        <v>3</v>
      </c>
      <c r="ER38" s="734">
        <v>3</v>
      </c>
      <c r="ES38" s="734">
        <v>3</v>
      </c>
      <c r="ET38" s="734">
        <v>3</v>
      </c>
      <c r="EU38" s="734">
        <v>3</v>
      </c>
      <c r="EV38" s="734">
        <v>3</v>
      </c>
      <c r="EW38" s="734">
        <v>3</v>
      </c>
      <c r="EX38" s="734">
        <v>3</v>
      </c>
      <c r="EY38" s="734">
        <v>3</v>
      </c>
      <c r="EZ38" s="734">
        <v>3</v>
      </c>
      <c r="FA38" s="734">
        <v>3</v>
      </c>
      <c r="FB38" s="734">
        <v>3</v>
      </c>
      <c r="FC38" s="734">
        <v>3</v>
      </c>
      <c r="FD38" s="734">
        <v>3</v>
      </c>
      <c r="FE38" s="734">
        <v>3</v>
      </c>
      <c r="FF38" s="734">
        <v>3</v>
      </c>
      <c r="FG38" s="734">
        <v>3</v>
      </c>
      <c r="FH38" s="734">
        <v>3</v>
      </c>
      <c r="FI38" s="734">
        <v>3</v>
      </c>
      <c r="FJ38" s="734">
        <v>3</v>
      </c>
      <c r="FK38" s="734">
        <v>3</v>
      </c>
      <c r="FL38" s="734">
        <v>3</v>
      </c>
      <c r="FM38" s="734">
        <v>3</v>
      </c>
      <c r="FN38" s="734">
        <v>3</v>
      </c>
      <c r="FO38" s="734">
        <v>3</v>
      </c>
      <c r="FP38" s="734">
        <v>3</v>
      </c>
      <c r="FQ38" s="734">
        <v>3</v>
      </c>
      <c r="FR38" s="734">
        <v>3</v>
      </c>
      <c r="FS38" s="734">
        <v>3</v>
      </c>
      <c r="FT38" s="734">
        <v>3</v>
      </c>
      <c r="FU38" s="734">
        <v>3</v>
      </c>
      <c r="FV38" s="732">
        <f t="shared" si="26"/>
        <v>3</v>
      </c>
      <c r="FW38" s="312"/>
    </row>
    <row r="39" spans="1:179">
      <c r="A39" s="1028"/>
      <c r="B39" s="686" t="s">
        <v>307</v>
      </c>
      <c r="C39" s="687" t="s">
        <v>323</v>
      </c>
      <c r="D39" s="687">
        <v>16.829999999999998</v>
      </c>
      <c r="E39" s="1029"/>
      <c r="F39" s="726" t="s">
        <v>324</v>
      </c>
      <c r="G39" s="683">
        <f t="shared" ref="G39:BR39" si="35">16.8349994240702*G16</f>
        <v>1863449.2512509064</v>
      </c>
      <c r="H39" s="683">
        <f t="shared" si="35"/>
        <v>1863449.2512509064</v>
      </c>
      <c r="I39" s="683">
        <f t="shared" si="35"/>
        <v>1863449.2512509064</v>
      </c>
      <c r="J39" s="683">
        <f t="shared" si="35"/>
        <v>1863449.2512509064</v>
      </c>
      <c r="K39" s="683">
        <f t="shared" si="35"/>
        <v>1863449.2512509064</v>
      </c>
      <c r="L39" s="683">
        <f t="shared" si="35"/>
        <v>1863449.2512509064</v>
      </c>
      <c r="M39" s="683">
        <f t="shared" si="35"/>
        <v>1863449.2512509064</v>
      </c>
      <c r="N39" s="683">
        <f t="shared" si="35"/>
        <v>1863449.2512509064</v>
      </c>
      <c r="O39" s="683">
        <f t="shared" si="35"/>
        <v>1863449.2512509064</v>
      </c>
      <c r="P39" s="683">
        <f t="shared" si="35"/>
        <v>1863449.2512509064</v>
      </c>
      <c r="Q39" s="683">
        <f t="shared" si="35"/>
        <v>1863449.2512509064</v>
      </c>
      <c r="R39" s="683">
        <f t="shared" si="35"/>
        <v>1863449.2512509064</v>
      </c>
      <c r="S39" s="683">
        <f t="shared" si="35"/>
        <v>1863449.2512509064</v>
      </c>
      <c r="T39" s="683">
        <f t="shared" si="35"/>
        <v>1863449.2512509064</v>
      </c>
      <c r="U39" s="683">
        <f t="shared" si="35"/>
        <v>1863449.2512509064</v>
      </c>
      <c r="V39" s="683">
        <f t="shared" si="35"/>
        <v>1863449.2512509064</v>
      </c>
      <c r="W39" s="683">
        <f t="shared" si="35"/>
        <v>1863449.2512509064</v>
      </c>
      <c r="X39" s="683">
        <f t="shared" si="35"/>
        <v>1863449.2512509064</v>
      </c>
      <c r="Y39" s="683">
        <f t="shared" si="35"/>
        <v>1863449.2512509064</v>
      </c>
      <c r="Z39" s="683">
        <f t="shared" si="35"/>
        <v>1863449.2512509064</v>
      </c>
      <c r="AA39" s="683">
        <f t="shared" si="35"/>
        <v>1863449.2512509064</v>
      </c>
      <c r="AB39" s="683">
        <f t="shared" si="35"/>
        <v>1863449.2512509064</v>
      </c>
      <c r="AC39" s="683">
        <f t="shared" si="35"/>
        <v>1863449.2512509064</v>
      </c>
      <c r="AD39" s="683">
        <f t="shared" si="35"/>
        <v>1863449.2512509064</v>
      </c>
      <c r="AE39" s="683">
        <f t="shared" si="35"/>
        <v>1863449.2512509064</v>
      </c>
      <c r="AF39" s="683">
        <f t="shared" si="35"/>
        <v>1863449.2512509064</v>
      </c>
      <c r="AG39" s="683">
        <f t="shared" si="35"/>
        <v>1863449.2512509064</v>
      </c>
      <c r="AH39" s="683">
        <f t="shared" si="35"/>
        <v>1863449.2512509064</v>
      </c>
      <c r="AI39" s="683">
        <f t="shared" si="35"/>
        <v>1863449.2512509064</v>
      </c>
      <c r="AJ39" s="683">
        <f t="shared" si="35"/>
        <v>1863449.2512509064</v>
      </c>
      <c r="AK39" s="683">
        <f t="shared" si="35"/>
        <v>1863449.2512509064</v>
      </c>
      <c r="AL39" s="683">
        <f t="shared" si="35"/>
        <v>1863449.2512509064</v>
      </c>
      <c r="AM39" s="683">
        <f t="shared" si="35"/>
        <v>1863449.2512509064</v>
      </c>
      <c r="AN39" s="683">
        <f t="shared" si="35"/>
        <v>1863449.2512509064</v>
      </c>
      <c r="AO39" s="683">
        <f t="shared" si="35"/>
        <v>1863449.2512509064</v>
      </c>
      <c r="AP39" s="683">
        <f t="shared" si="35"/>
        <v>1863449.2512509064</v>
      </c>
      <c r="AQ39" s="683">
        <f t="shared" si="35"/>
        <v>1863449.2512509064</v>
      </c>
      <c r="AR39" s="683">
        <f t="shared" si="35"/>
        <v>1863449.2512509064</v>
      </c>
      <c r="AS39" s="683">
        <f t="shared" si="35"/>
        <v>1863449.2512509064</v>
      </c>
      <c r="AT39" s="683">
        <f t="shared" si="35"/>
        <v>1863449.2512509064</v>
      </c>
      <c r="AU39" s="727">
        <f t="shared" si="35"/>
        <v>1863449.2512509064</v>
      </c>
      <c r="AV39" s="727">
        <f t="shared" si="35"/>
        <v>1863449.2512509064</v>
      </c>
      <c r="AW39" s="727">
        <f t="shared" si="35"/>
        <v>1863449.2512509064</v>
      </c>
      <c r="AX39" s="727">
        <f t="shared" si="35"/>
        <v>1863449.2512509064</v>
      </c>
      <c r="AY39" s="727">
        <f t="shared" si="35"/>
        <v>1863449.2512509064</v>
      </c>
      <c r="AZ39" s="727">
        <f t="shared" si="35"/>
        <v>1863449.2512509064</v>
      </c>
      <c r="BA39" s="727">
        <f t="shared" si="35"/>
        <v>1863449.2512509064</v>
      </c>
      <c r="BB39" s="727">
        <f t="shared" si="35"/>
        <v>1863449.2512509064</v>
      </c>
      <c r="BC39" s="727">
        <f t="shared" si="35"/>
        <v>1863449.2512509064</v>
      </c>
      <c r="BD39" s="727">
        <f t="shared" si="35"/>
        <v>1863449.2512509064</v>
      </c>
      <c r="BE39" s="727">
        <f t="shared" si="35"/>
        <v>1863449.2512509064</v>
      </c>
      <c r="BF39" s="727">
        <f t="shared" si="35"/>
        <v>1863449.2512509064</v>
      </c>
      <c r="BG39" s="727">
        <f t="shared" si="35"/>
        <v>1863449.2512509064</v>
      </c>
      <c r="BH39" s="727">
        <f t="shared" si="35"/>
        <v>1863449.2512509064</v>
      </c>
      <c r="BI39" s="727">
        <f t="shared" si="35"/>
        <v>1863449.2512509064</v>
      </c>
      <c r="BJ39" s="727">
        <f t="shared" si="35"/>
        <v>1863449.2512509064</v>
      </c>
      <c r="BK39" s="727">
        <f t="shared" si="35"/>
        <v>1863449.2512509064</v>
      </c>
      <c r="BL39" s="727">
        <f t="shared" si="35"/>
        <v>1863449.2512509064</v>
      </c>
      <c r="BM39" s="727">
        <f t="shared" si="35"/>
        <v>1863449.2512509064</v>
      </c>
      <c r="BN39" s="727">
        <f t="shared" si="35"/>
        <v>1863449.2512509064</v>
      </c>
      <c r="BO39" s="727">
        <f t="shared" si="35"/>
        <v>1863449.2512509064</v>
      </c>
      <c r="BP39" s="727">
        <f t="shared" si="35"/>
        <v>1863449.2512509064</v>
      </c>
      <c r="BQ39" s="727">
        <f t="shared" si="35"/>
        <v>1863449.2512509064</v>
      </c>
      <c r="BR39" s="727">
        <f t="shared" si="35"/>
        <v>1863449.2512509064</v>
      </c>
      <c r="BS39" s="727">
        <f t="shared" ref="BS39:CL39" si="36">16.8349994240702*BS16</f>
        <v>1863449.2512509064</v>
      </c>
      <c r="BT39" s="727">
        <f t="shared" si="36"/>
        <v>1863449.2512509064</v>
      </c>
      <c r="BU39" s="727">
        <f t="shared" si="36"/>
        <v>1863449.2512509064</v>
      </c>
      <c r="BV39" s="727">
        <f t="shared" si="36"/>
        <v>1863449.2512509064</v>
      </c>
      <c r="BW39" s="727">
        <f t="shared" si="36"/>
        <v>1863449.2512509064</v>
      </c>
      <c r="BX39" s="727">
        <f t="shared" si="36"/>
        <v>1863449.2512509064</v>
      </c>
      <c r="BY39" s="727">
        <f t="shared" si="36"/>
        <v>1863449.2512509064</v>
      </c>
      <c r="BZ39" s="727">
        <f t="shared" si="36"/>
        <v>1863449.2512509064</v>
      </c>
      <c r="CA39" s="727">
        <f t="shared" si="36"/>
        <v>1863449.2512509064</v>
      </c>
      <c r="CB39" s="727">
        <f t="shared" si="36"/>
        <v>1863449.2512509064</v>
      </c>
      <c r="CC39" s="727">
        <f t="shared" si="36"/>
        <v>1863449.2512509064</v>
      </c>
      <c r="CD39" s="727">
        <f t="shared" si="36"/>
        <v>1863449.2512509064</v>
      </c>
      <c r="CE39" s="727">
        <f t="shared" si="36"/>
        <v>1863449.2512509064</v>
      </c>
      <c r="CF39" s="727">
        <f t="shared" si="36"/>
        <v>1863449.2512509064</v>
      </c>
      <c r="CG39" s="727">
        <f t="shared" si="36"/>
        <v>1863449.2512509064</v>
      </c>
      <c r="CH39" s="727">
        <f t="shared" si="36"/>
        <v>1863449.2512509064</v>
      </c>
      <c r="CI39" s="727">
        <f t="shared" si="36"/>
        <v>1863449.2512509064</v>
      </c>
      <c r="CJ39" s="727">
        <f t="shared" si="36"/>
        <v>1863449.2512509064</v>
      </c>
      <c r="CK39" s="727">
        <f t="shared" si="36"/>
        <v>1863449.2512509064</v>
      </c>
      <c r="CL39" s="726">
        <f t="shared" si="36"/>
        <v>1863449.2512509064</v>
      </c>
      <c r="CM39" s="685">
        <f t="shared" si="0"/>
        <v>1863449.2512509057</v>
      </c>
      <c r="CN39" s="733" t="s">
        <v>220</v>
      </c>
      <c r="CO39" s="734">
        <v>2.4500000000000002</v>
      </c>
      <c r="CP39" s="734">
        <v>2.4500000000000002</v>
      </c>
      <c r="CQ39" s="734">
        <v>2.4500000000000002</v>
      </c>
      <c r="CR39" s="734">
        <v>2.4500000000000002</v>
      </c>
      <c r="CS39" s="734">
        <v>2.4500000000000002</v>
      </c>
      <c r="CT39" s="734">
        <v>2.4500000000000002</v>
      </c>
      <c r="CU39" s="734">
        <v>2.4500000000000002</v>
      </c>
      <c r="CV39" s="734">
        <v>2.4500000000000002</v>
      </c>
      <c r="CW39" s="734">
        <v>2.4500000000000002</v>
      </c>
      <c r="CX39" s="734">
        <v>2.4500000000000002</v>
      </c>
      <c r="CY39" s="734">
        <v>2.4500000000000002</v>
      </c>
      <c r="CZ39" s="734">
        <v>2.4500000000000002</v>
      </c>
      <c r="DA39" s="734">
        <v>2.4500000000000002</v>
      </c>
      <c r="DB39" s="734">
        <v>2.4500000000000002</v>
      </c>
      <c r="DC39" s="734">
        <v>2.4500000000000002</v>
      </c>
      <c r="DD39" s="734">
        <v>2.4500000000000002</v>
      </c>
      <c r="DE39" s="734">
        <v>2.4500000000000002</v>
      </c>
      <c r="DF39" s="734">
        <v>2.4500000000000002</v>
      </c>
      <c r="DG39" s="734">
        <v>2.4500000000000002</v>
      </c>
      <c r="DH39" s="734">
        <v>2.4500000000000002</v>
      </c>
      <c r="DI39" s="734">
        <v>2.4500000000000002</v>
      </c>
      <c r="DJ39" s="734">
        <v>2.4500000000000002</v>
      </c>
      <c r="DK39" s="734">
        <v>2.4500000000000002</v>
      </c>
      <c r="DL39" s="734">
        <v>2.4500000000000002</v>
      </c>
      <c r="DM39" s="734">
        <v>2.4500000000000002</v>
      </c>
      <c r="DN39" s="734">
        <v>2.4500000000000002</v>
      </c>
      <c r="DO39" s="734">
        <v>2.4500000000000002</v>
      </c>
      <c r="DP39" s="734">
        <v>2.4500000000000002</v>
      </c>
      <c r="DQ39" s="734">
        <v>2.4500000000000002</v>
      </c>
      <c r="DR39" s="734">
        <v>2.4500000000000002</v>
      </c>
      <c r="DS39" s="734">
        <v>2.4500000000000002</v>
      </c>
      <c r="DT39" s="734">
        <v>2.4500000000000002</v>
      </c>
      <c r="DU39" s="734">
        <v>2.4500000000000002</v>
      </c>
      <c r="DV39" s="734">
        <v>2.4500000000000002</v>
      </c>
      <c r="DW39" s="734">
        <v>2.4500000000000002</v>
      </c>
      <c r="DX39" s="734">
        <v>2.4500000000000002</v>
      </c>
      <c r="DY39" s="734">
        <v>2.4500000000000002</v>
      </c>
      <c r="DZ39" s="734">
        <v>2.4500000000000002</v>
      </c>
      <c r="EA39" s="734">
        <v>2.4500000000000002</v>
      </c>
      <c r="EB39" s="734">
        <v>2.4500000000000002</v>
      </c>
      <c r="EC39" s="734">
        <v>2.4500000000000002</v>
      </c>
      <c r="ED39" s="734">
        <v>2.4500000000000002</v>
      </c>
      <c r="EE39" s="734">
        <v>2.4500000000000002</v>
      </c>
      <c r="EF39" s="734">
        <v>2.4500000000000002</v>
      </c>
      <c r="EG39" s="734">
        <v>2.4500000000000002</v>
      </c>
      <c r="EH39" s="734">
        <v>2.4500000000000002</v>
      </c>
      <c r="EI39" s="734">
        <v>2.4500000000000002</v>
      </c>
      <c r="EJ39" s="734">
        <v>2.4500000000000002</v>
      </c>
      <c r="EK39" s="734">
        <v>2.4500000000000002</v>
      </c>
      <c r="EL39" s="734">
        <v>2.4500000000000002</v>
      </c>
      <c r="EM39" s="734">
        <v>2.4500000000000002</v>
      </c>
      <c r="EN39" s="734">
        <v>2.4500000000000002</v>
      </c>
      <c r="EO39" s="734">
        <v>2.4500000000000002</v>
      </c>
      <c r="EP39" s="734">
        <v>2.4500000000000002</v>
      </c>
      <c r="EQ39" s="734">
        <v>2.4500000000000002</v>
      </c>
      <c r="ER39" s="734">
        <v>2.4500000000000002</v>
      </c>
      <c r="ES39" s="734">
        <v>2.4500000000000002</v>
      </c>
      <c r="ET39" s="734">
        <v>2.4500000000000002</v>
      </c>
      <c r="EU39" s="734">
        <v>2.4500000000000002</v>
      </c>
      <c r="EV39" s="734">
        <v>2.4500000000000002</v>
      </c>
      <c r="EW39" s="734">
        <v>2.4500000000000002</v>
      </c>
      <c r="EX39" s="734">
        <v>2.4500000000000002</v>
      </c>
      <c r="EY39" s="734">
        <v>2.4500000000000002</v>
      </c>
      <c r="EZ39" s="734">
        <v>2.4500000000000002</v>
      </c>
      <c r="FA39" s="734">
        <v>2.4500000000000002</v>
      </c>
      <c r="FB39" s="734">
        <v>2.4500000000000002</v>
      </c>
      <c r="FC39" s="734">
        <v>2.4500000000000002</v>
      </c>
      <c r="FD39" s="734">
        <v>2.4500000000000002</v>
      </c>
      <c r="FE39" s="734">
        <v>2.4500000000000002</v>
      </c>
      <c r="FF39" s="734">
        <v>2.4500000000000002</v>
      </c>
      <c r="FG39" s="734">
        <v>2.4500000000000002</v>
      </c>
      <c r="FH39" s="734">
        <v>2.4500000000000002</v>
      </c>
      <c r="FI39" s="734">
        <v>2.4500000000000002</v>
      </c>
      <c r="FJ39" s="734">
        <v>2.4500000000000002</v>
      </c>
      <c r="FK39" s="734">
        <v>2.4500000000000002</v>
      </c>
      <c r="FL39" s="734">
        <v>2.4500000000000002</v>
      </c>
      <c r="FM39" s="734">
        <v>2.4500000000000002</v>
      </c>
      <c r="FN39" s="734">
        <v>2.4500000000000002</v>
      </c>
      <c r="FO39" s="734">
        <v>2.4500000000000002</v>
      </c>
      <c r="FP39" s="734">
        <v>2.4500000000000002</v>
      </c>
      <c r="FQ39" s="734">
        <v>2.4500000000000002</v>
      </c>
      <c r="FR39" s="734">
        <v>2.4500000000000002</v>
      </c>
      <c r="FS39" s="734">
        <v>2.4500000000000002</v>
      </c>
      <c r="FT39" s="734">
        <v>2.4500000000000002</v>
      </c>
      <c r="FU39" s="734">
        <v>2.4500000000000002</v>
      </c>
      <c r="FV39" s="732">
        <f t="shared" si="26"/>
        <v>2.450000000000002</v>
      </c>
      <c r="FW39" s="312"/>
    </row>
    <row r="40" spans="1:179">
      <c r="A40" s="1028"/>
      <c r="B40" s="686" t="s">
        <v>307</v>
      </c>
      <c r="C40" s="687" t="s">
        <v>148</v>
      </c>
      <c r="D40" s="687">
        <v>2.8000000000000001E-2</v>
      </c>
      <c r="E40" s="1029"/>
      <c r="F40" s="735" t="s">
        <v>325</v>
      </c>
      <c r="G40" s="683">
        <f t="shared" ref="G40:BR40" si="37">$D$40*G16</f>
        <v>3099.2919999999999</v>
      </c>
      <c r="H40" s="683">
        <f t="shared" si="37"/>
        <v>3099.2919999999999</v>
      </c>
      <c r="I40" s="683">
        <f t="shared" si="37"/>
        <v>3099.2919999999999</v>
      </c>
      <c r="J40" s="683">
        <f t="shared" si="37"/>
        <v>3099.2919999999999</v>
      </c>
      <c r="K40" s="683">
        <f t="shared" si="37"/>
        <v>3099.2919999999999</v>
      </c>
      <c r="L40" s="683">
        <f t="shared" si="37"/>
        <v>3099.2919999999999</v>
      </c>
      <c r="M40" s="683">
        <f t="shared" si="37"/>
        <v>3099.2919999999999</v>
      </c>
      <c r="N40" s="683">
        <f t="shared" si="37"/>
        <v>3099.2919999999999</v>
      </c>
      <c r="O40" s="683">
        <f t="shared" si="37"/>
        <v>3099.2919999999999</v>
      </c>
      <c r="P40" s="683">
        <f t="shared" si="37"/>
        <v>3099.2919999999999</v>
      </c>
      <c r="Q40" s="683">
        <f t="shared" si="37"/>
        <v>3099.2919999999999</v>
      </c>
      <c r="R40" s="683">
        <f t="shared" si="37"/>
        <v>3099.2919999999999</v>
      </c>
      <c r="S40" s="683">
        <f t="shared" si="37"/>
        <v>3099.2919999999999</v>
      </c>
      <c r="T40" s="683">
        <f t="shared" si="37"/>
        <v>3099.2919999999999</v>
      </c>
      <c r="U40" s="683">
        <f t="shared" si="37"/>
        <v>3099.2919999999999</v>
      </c>
      <c r="V40" s="683">
        <f t="shared" si="37"/>
        <v>3099.2919999999999</v>
      </c>
      <c r="W40" s="683">
        <f t="shared" si="37"/>
        <v>3099.2919999999999</v>
      </c>
      <c r="X40" s="683">
        <f t="shared" si="37"/>
        <v>3099.2919999999999</v>
      </c>
      <c r="Y40" s="683">
        <f t="shared" si="37"/>
        <v>3099.2919999999999</v>
      </c>
      <c r="Z40" s="683">
        <f t="shared" si="37"/>
        <v>3099.2919999999999</v>
      </c>
      <c r="AA40" s="683">
        <f t="shared" si="37"/>
        <v>3099.2919999999999</v>
      </c>
      <c r="AB40" s="683">
        <f t="shared" si="37"/>
        <v>3099.2919999999999</v>
      </c>
      <c r="AC40" s="683">
        <f t="shared" si="37"/>
        <v>3099.2919999999999</v>
      </c>
      <c r="AD40" s="683">
        <f t="shared" si="37"/>
        <v>3099.2919999999999</v>
      </c>
      <c r="AE40" s="683">
        <f t="shared" si="37"/>
        <v>3099.2919999999999</v>
      </c>
      <c r="AF40" s="683">
        <f t="shared" si="37"/>
        <v>3099.2919999999999</v>
      </c>
      <c r="AG40" s="683">
        <f t="shared" si="37"/>
        <v>3099.2919999999999</v>
      </c>
      <c r="AH40" s="683">
        <f t="shared" si="37"/>
        <v>3099.2919999999999</v>
      </c>
      <c r="AI40" s="683">
        <f t="shared" si="37"/>
        <v>3099.2919999999999</v>
      </c>
      <c r="AJ40" s="683">
        <f t="shared" si="37"/>
        <v>3099.2919999999999</v>
      </c>
      <c r="AK40" s="683">
        <f t="shared" si="37"/>
        <v>3099.2919999999999</v>
      </c>
      <c r="AL40" s="683">
        <f t="shared" si="37"/>
        <v>3099.2919999999999</v>
      </c>
      <c r="AM40" s="683">
        <f t="shared" si="37"/>
        <v>3099.2919999999999</v>
      </c>
      <c r="AN40" s="683">
        <f t="shared" si="37"/>
        <v>3099.2919999999999</v>
      </c>
      <c r="AO40" s="683">
        <f t="shared" si="37"/>
        <v>3099.2919999999999</v>
      </c>
      <c r="AP40" s="683">
        <f t="shared" si="37"/>
        <v>3099.2919999999999</v>
      </c>
      <c r="AQ40" s="683">
        <f t="shared" si="37"/>
        <v>3099.2919999999999</v>
      </c>
      <c r="AR40" s="683">
        <f t="shared" si="37"/>
        <v>3099.2919999999999</v>
      </c>
      <c r="AS40" s="683">
        <f t="shared" si="37"/>
        <v>3099.2919999999999</v>
      </c>
      <c r="AT40" s="683">
        <f t="shared" si="37"/>
        <v>3099.2919999999999</v>
      </c>
      <c r="AU40" s="727">
        <f t="shared" si="37"/>
        <v>3099.2919999999999</v>
      </c>
      <c r="AV40" s="727">
        <f t="shared" si="37"/>
        <v>3099.2919999999999</v>
      </c>
      <c r="AW40" s="727">
        <f t="shared" si="37"/>
        <v>3099.2919999999999</v>
      </c>
      <c r="AX40" s="727">
        <f t="shared" si="37"/>
        <v>3099.2919999999999</v>
      </c>
      <c r="AY40" s="727">
        <f t="shared" si="37"/>
        <v>3099.2919999999999</v>
      </c>
      <c r="AZ40" s="727">
        <f t="shared" si="37"/>
        <v>3099.2919999999999</v>
      </c>
      <c r="BA40" s="727">
        <f t="shared" si="37"/>
        <v>3099.2919999999999</v>
      </c>
      <c r="BB40" s="727">
        <f t="shared" si="37"/>
        <v>3099.2919999999999</v>
      </c>
      <c r="BC40" s="727">
        <f t="shared" si="37"/>
        <v>3099.2919999999999</v>
      </c>
      <c r="BD40" s="727">
        <f t="shared" si="37"/>
        <v>3099.2919999999999</v>
      </c>
      <c r="BE40" s="727">
        <f t="shared" si="37"/>
        <v>3099.2919999999999</v>
      </c>
      <c r="BF40" s="727">
        <f t="shared" si="37"/>
        <v>3099.2919999999999</v>
      </c>
      <c r="BG40" s="727">
        <f t="shared" si="37"/>
        <v>3099.2919999999999</v>
      </c>
      <c r="BH40" s="727">
        <f t="shared" si="37"/>
        <v>3099.2919999999999</v>
      </c>
      <c r="BI40" s="727">
        <f t="shared" si="37"/>
        <v>3099.2919999999999</v>
      </c>
      <c r="BJ40" s="727">
        <f t="shared" si="37"/>
        <v>3099.2919999999999</v>
      </c>
      <c r="BK40" s="727">
        <f t="shared" si="37"/>
        <v>3099.2919999999999</v>
      </c>
      <c r="BL40" s="727">
        <f t="shared" si="37"/>
        <v>3099.2919999999999</v>
      </c>
      <c r="BM40" s="727">
        <f t="shared" si="37"/>
        <v>3099.2919999999999</v>
      </c>
      <c r="BN40" s="727">
        <f t="shared" si="37"/>
        <v>3099.2919999999999</v>
      </c>
      <c r="BO40" s="727">
        <f t="shared" si="37"/>
        <v>3099.2919999999999</v>
      </c>
      <c r="BP40" s="727">
        <f t="shared" si="37"/>
        <v>3099.2919999999999</v>
      </c>
      <c r="BQ40" s="727">
        <f t="shared" si="37"/>
        <v>3099.2919999999999</v>
      </c>
      <c r="BR40" s="727">
        <f t="shared" si="37"/>
        <v>3099.2919999999999</v>
      </c>
      <c r="BS40" s="727">
        <f t="shared" ref="BS40:CL40" si="38">$D$40*BS16</f>
        <v>3099.2919999999999</v>
      </c>
      <c r="BT40" s="727">
        <f t="shared" si="38"/>
        <v>3099.2919999999999</v>
      </c>
      <c r="BU40" s="727">
        <f t="shared" si="38"/>
        <v>3099.2919999999999</v>
      </c>
      <c r="BV40" s="727">
        <f t="shared" si="38"/>
        <v>3099.2919999999999</v>
      </c>
      <c r="BW40" s="727">
        <f t="shared" si="38"/>
        <v>3099.2919999999999</v>
      </c>
      <c r="BX40" s="727">
        <f t="shared" si="38"/>
        <v>3099.2919999999999</v>
      </c>
      <c r="BY40" s="727">
        <f t="shared" si="38"/>
        <v>3099.2919999999999</v>
      </c>
      <c r="BZ40" s="727">
        <f t="shared" si="38"/>
        <v>3099.2919999999999</v>
      </c>
      <c r="CA40" s="727">
        <f t="shared" si="38"/>
        <v>3099.2919999999999</v>
      </c>
      <c r="CB40" s="727">
        <f t="shared" si="38"/>
        <v>3099.2919999999999</v>
      </c>
      <c r="CC40" s="727">
        <f t="shared" si="38"/>
        <v>3099.2919999999999</v>
      </c>
      <c r="CD40" s="727">
        <f t="shared" si="38"/>
        <v>3099.2919999999999</v>
      </c>
      <c r="CE40" s="727">
        <f t="shared" si="38"/>
        <v>3099.2919999999999</v>
      </c>
      <c r="CF40" s="727">
        <f t="shared" si="38"/>
        <v>3099.2919999999999</v>
      </c>
      <c r="CG40" s="727">
        <f t="shared" si="38"/>
        <v>3099.2919999999999</v>
      </c>
      <c r="CH40" s="727">
        <f t="shared" si="38"/>
        <v>3099.2919999999999</v>
      </c>
      <c r="CI40" s="727">
        <f t="shared" si="38"/>
        <v>3099.2919999999999</v>
      </c>
      <c r="CJ40" s="727">
        <f t="shared" si="38"/>
        <v>3099.2919999999999</v>
      </c>
      <c r="CK40" s="727">
        <f t="shared" si="38"/>
        <v>3099.2919999999999</v>
      </c>
      <c r="CL40" s="726">
        <f t="shared" si="38"/>
        <v>3099.2919999999999</v>
      </c>
      <c r="CM40" s="685">
        <f t="shared" si="0"/>
        <v>3099.291999999994</v>
      </c>
      <c r="CN40" s="733" t="s">
        <v>221</v>
      </c>
      <c r="CO40" s="734">
        <v>752</v>
      </c>
      <c r="CP40" s="734">
        <v>752</v>
      </c>
      <c r="CQ40" s="734">
        <v>752</v>
      </c>
      <c r="CR40" s="734">
        <v>752</v>
      </c>
      <c r="CS40" s="734">
        <v>752</v>
      </c>
      <c r="CT40" s="734">
        <v>752</v>
      </c>
      <c r="CU40" s="734">
        <v>752</v>
      </c>
      <c r="CV40" s="734">
        <v>752</v>
      </c>
      <c r="CW40" s="734">
        <v>752</v>
      </c>
      <c r="CX40" s="734">
        <v>752</v>
      </c>
      <c r="CY40" s="734">
        <v>752</v>
      </c>
      <c r="CZ40" s="734">
        <v>752</v>
      </c>
      <c r="DA40" s="734">
        <v>752</v>
      </c>
      <c r="DB40" s="734">
        <v>752</v>
      </c>
      <c r="DC40" s="734">
        <v>752</v>
      </c>
      <c r="DD40" s="734">
        <v>752</v>
      </c>
      <c r="DE40" s="734">
        <v>752</v>
      </c>
      <c r="DF40" s="734">
        <v>752</v>
      </c>
      <c r="DG40" s="734">
        <v>752</v>
      </c>
      <c r="DH40" s="734">
        <v>752</v>
      </c>
      <c r="DI40" s="734">
        <v>752</v>
      </c>
      <c r="DJ40" s="734">
        <v>752</v>
      </c>
      <c r="DK40" s="734">
        <v>752</v>
      </c>
      <c r="DL40" s="734">
        <v>752</v>
      </c>
      <c r="DM40" s="734">
        <v>752</v>
      </c>
      <c r="DN40" s="734">
        <v>752</v>
      </c>
      <c r="DO40" s="734">
        <v>752</v>
      </c>
      <c r="DP40" s="734">
        <v>752</v>
      </c>
      <c r="DQ40" s="734">
        <v>752</v>
      </c>
      <c r="DR40" s="734">
        <v>752</v>
      </c>
      <c r="DS40" s="734">
        <v>752</v>
      </c>
      <c r="DT40" s="734">
        <v>752</v>
      </c>
      <c r="DU40" s="734">
        <v>752</v>
      </c>
      <c r="DV40" s="734">
        <v>752</v>
      </c>
      <c r="DW40" s="734">
        <v>752</v>
      </c>
      <c r="DX40" s="734">
        <v>752</v>
      </c>
      <c r="DY40" s="734">
        <v>752</v>
      </c>
      <c r="DZ40" s="734">
        <v>752</v>
      </c>
      <c r="EA40" s="734">
        <v>752</v>
      </c>
      <c r="EB40" s="734">
        <v>752</v>
      </c>
      <c r="EC40" s="734">
        <v>752</v>
      </c>
      <c r="ED40" s="734">
        <v>752</v>
      </c>
      <c r="EE40" s="734">
        <v>752</v>
      </c>
      <c r="EF40" s="734">
        <v>752</v>
      </c>
      <c r="EG40" s="734">
        <v>752</v>
      </c>
      <c r="EH40" s="734">
        <v>752</v>
      </c>
      <c r="EI40" s="734">
        <v>752</v>
      </c>
      <c r="EJ40" s="734">
        <v>752</v>
      </c>
      <c r="EK40" s="734">
        <v>752</v>
      </c>
      <c r="EL40" s="734">
        <v>752</v>
      </c>
      <c r="EM40" s="734">
        <v>752</v>
      </c>
      <c r="EN40" s="734">
        <v>752</v>
      </c>
      <c r="EO40" s="734">
        <v>752</v>
      </c>
      <c r="EP40" s="734">
        <v>752</v>
      </c>
      <c r="EQ40" s="734">
        <v>752</v>
      </c>
      <c r="ER40" s="734">
        <v>752</v>
      </c>
      <c r="ES40" s="734">
        <v>752</v>
      </c>
      <c r="ET40" s="734">
        <v>752</v>
      </c>
      <c r="EU40" s="734">
        <v>752</v>
      </c>
      <c r="EV40" s="734">
        <v>752</v>
      </c>
      <c r="EW40" s="734">
        <v>752</v>
      </c>
      <c r="EX40" s="734">
        <v>752</v>
      </c>
      <c r="EY40" s="734">
        <v>752</v>
      </c>
      <c r="EZ40" s="734">
        <v>752</v>
      </c>
      <c r="FA40" s="734">
        <v>752</v>
      </c>
      <c r="FB40" s="734">
        <v>752</v>
      </c>
      <c r="FC40" s="734">
        <v>752</v>
      </c>
      <c r="FD40" s="734">
        <v>752</v>
      </c>
      <c r="FE40" s="734">
        <v>752</v>
      </c>
      <c r="FF40" s="734">
        <v>752</v>
      </c>
      <c r="FG40" s="734">
        <v>752</v>
      </c>
      <c r="FH40" s="734">
        <v>752</v>
      </c>
      <c r="FI40" s="734">
        <v>752</v>
      </c>
      <c r="FJ40" s="734">
        <v>752</v>
      </c>
      <c r="FK40" s="734">
        <v>752</v>
      </c>
      <c r="FL40" s="734">
        <v>752</v>
      </c>
      <c r="FM40" s="734">
        <v>752</v>
      </c>
      <c r="FN40" s="734">
        <v>752</v>
      </c>
      <c r="FO40" s="734">
        <v>752</v>
      </c>
      <c r="FP40" s="734">
        <v>752</v>
      </c>
      <c r="FQ40" s="734">
        <v>752</v>
      </c>
      <c r="FR40" s="734">
        <v>752</v>
      </c>
      <c r="FS40" s="734">
        <v>752</v>
      </c>
      <c r="FT40" s="734">
        <v>752</v>
      </c>
      <c r="FU40" s="734">
        <v>752</v>
      </c>
      <c r="FV40" s="732">
        <f t="shared" si="26"/>
        <v>752</v>
      </c>
      <c r="FW40" s="312"/>
    </row>
    <row r="41" spans="1:179">
      <c r="A41" s="736"/>
      <c r="B41" s="737" t="s">
        <v>307</v>
      </c>
      <c r="C41" s="738" t="s">
        <v>326</v>
      </c>
      <c r="D41" s="738"/>
      <c r="E41" s="739"/>
      <c r="F41" s="740" t="s">
        <v>327</v>
      </c>
      <c r="G41" s="741">
        <f t="shared" ref="G41:BR41" si="39">G34*CP35+G36*CP36+G37*CP34+G38*CP37+G35*CP38+CP39*G39+G40*CP40</f>
        <v>577198522.33817685</v>
      </c>
      <c r="H41" s="741">
        <f t="shared" si="39"/>
        <v>577198522.33817685</v>
      </c>
      <c r="I41" s="741">
        <f t="shared" si="39"/>
        <v>577198522.33817685</v>
      </c>
      <c r="J41" s="741">
        <f t="shared" si="39"/>
        <v>577200381.91337681</v>
      </c>
      <c r="K41" s="741">
        <f t="shared" si="39"/>
        <v>577631515.5683769</v>
      </c>
      <c r="L41" s="741">
        <f t="shared" si="39"/>
        <v>577632135.42677689</v>
      </c>
      <c r="M41" s="741">
        <f t="shared" si="39"/>
        <v>577632135.42677689</v>
      </c>
      <c r="N41" s="741">
        <f t="shared" si="39"/>
        <v>578843052.84126496</v>
      </c>
      <c r="O41" s="741">
        <f t="shared" si="39"/>
        <v>577632755.28517687</v>
      </c>
      <c r="P41" s="741">
        <f t="shared" si="39"/>
        <v>578845377.31026495</v>
      </c>
      <c r="Q41" s="741">
        <f t="shared" si="39"/>
        <v>580055674.86635494</v>
      </c>
      <c r="R41" s="741">
        <f t="shared" si="39"/>
        <v>581265972.42244482</v>
      </c>
      <c r="S41" s="741">
        <f t="shared" si="39"/>
        <v>582476889.83693278</v>
      </c>
      <c r="T41" s="741">
        <f t="shared" si="39"/>
        <v>583689275.15835869</v>
      </c>
      <c r="U41" s="741">
        <f t="shared" si="39"/>
        <v>584899797.6274364</v>
      </c>
      <c r="V41" s="741">
        <f t="shared" si="39"/>
        <v>586209476.41527855</v>
      </c>
      <c r="W41" s="741">
        <f t="shared" si="39"/>
        <v>587383845.56370699</v>
      </c>
      <c r="X41" s="741">
        <f t="shared" si="39"/>
        <v>588558214.712134</v>
      </c>
      <c r="Y41" s="741">
        <f t="shared" si="39"/>
        <v>589732583.86056244</v>
      </c>
      <c r="Z41" s="741">
        <f t="shared" si="39"/>
        <v>590906953.00899112</v>
      </c>
      <c r="AA41" s="741">
        <f t="shared" si="39"/>
        <v>592081322.15741789</v>
      </c>
      <c r="AB41" s="741">
        <f t="shared" si="39"/>
        <v>593255691.30584645</v>
      </c>
      <c r="AC41" s="741">
        <f t="shared" si="39"/>
        <v>594430060.45427513</v>
      </c>
      <c r="AD41" s="741">
        <f t="shared" si="39"/>
        <v>595604429.6027019</v>
      </c>
      <c r="AE41" s="741">
        <f t="shared" si="39"/>
        <v>596780435.5269295</v>
      </c>
      <c r="AF41" s="741">
        <f t="shared" si="39"/>
        <v>597953167.89955723</v>
      </c>
      <c r="AG41" s="741">
        <f t="shared" si="39"/>
        <v>599127949.17480946</v>
      </c>
      <c r="AH41" s="741">
        <f t="shared" si="39"/>
        <v>600301906.19641459</v>
      </c>
      <c r="AI41" s="741">
        <f t="shared" si="39"/>
        <v>601476275.34484124</v>
      </c>
      <c r="AJ41" s="741">
        <f t="shared" si="39"/>
        <v>602650644.4932698</v>
      </c>
      <c r="AK41" s="741">
        <f t="shared" si="39"/>
        <v>603825013.64169848</v>
      </c>
      <c r="AL41" s="741">
        <f t="shared" si="39"/>
        <v>604999382.79012525</v>
      </c>
      <c r="AM41" s="741">
        <f t="shared" si="39"/>
        <v>606173751.93855393</v>
      </c>
      <c r="AN41" s="741">
        <f t="shared" si="39"/>
        <v>607348121.0869807</v>
      </c>
      <c r="AO41" s="741">
        <f t="shared" si="39"/>
        <v>608522490.23540938</v>
      </c>
      <c r="AP41" s="741">
        <f t="shared" si="39"/>
        <v>609696859.38383782</v>
      </c>
      <c r="AQ41" s="741">
        <f t="shared" si="39"/>
        <v>610871228.53226459</v>
      </c>
      <c r="AR41" s="741">
        <f t="shared" si="39"/>
        <v>612045597.68069339</v>
      </c>
      <c r="AS41" s="741">
        <f t="shared" si="39"/>
        <v>613219966.82912195</v>
      </c>
      <c r="AT41" s="741">
        <f t="shared" si="39"/>
        <v>480358962.52906466</v>
      </c>
      <c r="AU41" s="742">
        <f t="shared" si="39"/>
        <v>585156042.40356481</v>
      </c>
      <c r="AV41" s="742">
        <f t="shared" si="39"/>
        <v>588266305.13866127</v>
      </c>
      <c r="AW41" s="742">
        <f t="shared" si="39"/>
        <v>568327083.47309601</v>
      </c>
      <c r="AX41" s="742">
        <f t="shared" si="39"/>
        <v>617244859.47590363</v>
      </c>
      <c r="AY41" s="742">
        <f t="shared" si="39"/>
        <v>668882724.94326699</v>
      </c>
      <c r="AZ41" s="742">
        <f t="shared" si="39"/>
        <v>683714063.11193705</v>
      </c>
      <c r="BA41" s="742">
        <f t="shared" si="39"/>
        <v>693159965.16293657</v>
      </c>
      <c r="BB41" s="742">
        <f t="shared" si="39"/>
        <v>682620157.33884144</v>
      </c>
      <c r="BC41" s="742">
        <f t="shared" si="39"/>
        <v>731160553.64582551</v>
      </c>
      <c r="BD41" s="742">
        <f t="shared" si="39"/>
        <v>692170600.59429467</v>
      </c>
      <c r="BE41" s="742">
        <f t="shared" si="39"/>
        <v>651792823.8582499</v>
      </c>
      <c r="BF41" s="742">
        <f t="shared" si="39"/>
        <v>644961217.25700843</v>
      </c>
      <c r="BG41" s="742">
        <f t="shared" si="39"/>
        <v>695591598.84839642</v>
      </c>
      <c r="BH41" s="742">
        <f t="shared" si="39"/>
        <v>625766224.5939306</v>
      </c>
      <c r="BI41" s="742">
        <f t="shared" si="39"/>
        <v>558683796.64690077</v>
      </c>
      <c r="BJ41" s="742">
        <f t="shared" si="39"/>
        <v>546952364.98086476</v>
      </c>
      <c r="BK41" s="742">
        <f t="shared" si="39"/>
        <v>578120284.28986478</v>
      </c>
      <c r="BL41" s="742">
        <f t="shared" si="39"/>
        <v>624589574.23636472</v>
      </c>
      <c r="BM41" s="742">
        <f t="shared" si="39"/>
        <v>576886323.31786478</v>
      </c>
      <c r="BN41" s="742">
        <f t="shared" si="39"/>
        <v>560357865.49526465</v>
      </c>
      <c r="BO41" s="742">
        <f t="shared" si="39"/>
        <v>659371843.60016477</v>
      </c>
      <c r="BP41" s="742">
        <f t="shared" si="39"/>
        <v>648509035.44926488</v>
      </c>
      <c r="BQ41" s="742">
        <f t="shared" si="39"/>
        <v>708137089.06026483</v>
      </c>
      <c r="BR41" s="742">
        <f t="shared" si="39"/>
        <v>613603569.22846472</v>
      </c>
      <c r="BS41" s="742">
        <f t="shared" ref="BS41:CL41" si="40">BS34*FB35+BS36*FB36+BS37*FB34+BS38*FB37+BS35*FB38+FB39*BS39+BS40*FB40</f>
        <v>590228952.48026478</v>
      </c>
      <c r="BT41" s="742">
        <f t="shared" si="40"/>
        <v>438321560.52246475</v>
      </c>
      <c r="BU41" s="742">
        <f t="shared" si="40"/>
        <v>526692248.90126473</v>
      </c>
      <c r="BV41" s="742">
        <f t="shared" si="40"/>
        <v>505072761.21266472</v>
      </c>
      <c r="BW41" s="742">
        <f t="shared" si="40"/>
        <v>382372499.34226471</v>
      </c>
      <c r="BX41" s="742">
        <f t="shared" si="40"/>
        <v>367778044.00326473</v>
      </c>
      <c r="BY41" s="742">
        <f t="shared" si="40"/>
        <v>419785425.61786473</v>
      </c>
      <c r="BZ41" s="742">
        <f t="shared" si="40"/>
        <v>482715099.65196478</v>
      </c>
      <c r="CA41" s="742">
        <f t="shared" si="40"/>
        <v>504034642.28836477</v>
      </c>
      <c r="CB41" s="742">
        <f t="shared" si="40"/>
        <v>549559943.23616469</v>
      </c>
      <c r="CC41" s="742">
        <f t="shared" si="40"/>
        <v>589411956.97126472</v>
      </c>
      <c r="CD41" s="742">
        <f t="shared" si="40"/>
        <v>668945943.99966466</v>
      </c>
      <c r="CE41" s="742">
        <f t="shared" si="40"/>
        <v>776799169.30196488</v>
      </c>
      <c r="CF41" s="742">
        <f t="shared" si="40"/>
        <v>695542562.57326472</v>
      </c>
      <c r="CG41" s="742">
        <f t="shared" si="40"/>
        <v>591919062.82126486</v>
      </c>
      <c r="CH41" s="742">
        <f t="shared" si="40"/>
        <v>586536821.26516473</v>
      </c>
      <c r="CI41" s="742">
        <f t="shared" si="40"/>
        <v>634447337.33616483</v>
      </c>
      <c r="CJ41" s="742">
        <f t="shared" si="40"/>
        <v>707840132.61106479</v>
      </c>
      <c r="CK41" s="742">
        <f t="shared" si="40"/>
        <v>807241289.76906478</v>
      </c>
      <c r="CL41" s="743">
        <f t="shared" si="40"/>
        <v>866834210.69146478</v>
      </c>
      <c r="CM41" s="744">
        <f t="shared" si="0"/>
        <v>600702624.90250778</v>
      </c>
      <c r="CN41" s="745" t="s">
        <v>181</v>
      </c>
      <c r="CO41" s="746">
        <f t="shared" ref="CO41:CU41" si="41">0.75*CO36</f>
        <v>27.734853846153825</v>
      </c>
      <c r="CP41" s="746">
        <f t="shared" si="41"/>
        <v>27.734853846153825</v>
      </c>
      <c r="CQ41" s="746">
        <f t="shared" si="41"/>
        <v>27.734853846153825</v>
      </c>
      <c r="CR41" s="746">
        <f t="shared" si="41"/>
        <v>27.734853846153825</v>
      </c>
      <c r="CS41" s="746">
        <f t="shared" si="41"/>
        <v>27.734853846153825</v>
      </c>
      <c r="CT41" s="746">
        <f t="shared" si="41"/>
        <v>27.734853846153825</v>
      </c>
      <c r="CU41" s="746">
        <f t="shared" si="41"/>
        <v>27.734853846153825</v>
      </c>
      <c r="CV41" s="746">
        <f>0.75*CV36</f>
        <v>27.734853846153825</v>
      </c>
      <c r="CW41" s="746">
        <f>0.75*CW36</f>
        <v>28.317217948717946</v>
      </c>
      <c r="CX41" s="746">
        <f t="shared" ref="CX41:EB41" si="42">0.75*CX36</f>
        <v>27.734853846153825</v>
      </c>
      <c r="CY41" s="746">
        <f t="shared" si="42"/>
        <v>28.317217948717946</v>
      </c>
      <c r="CZ41" s="746">
        <f t="shared" si="42"/>
        <v>28.899582051282074</v>
      </c>
      <c r="DA41" s="746">
        <f t="shared" si="42"/>
        <v>29.481946153846124</v>
      </c>
      <c r="DB41" s="746">
        <f t="shared" si="42"/>
        <v>30.064310256410252</v>
      </c>
      <c r="DC41" s="746">
        <f t="shared" si="42"/>
        <v>30.646674358974373</v>
      </c>
      <c r="DD41" s="746">
        <f t="shared" si="42"/>
        <v>31.229038461538501</v>
      </c>
      <c r="DE41" s="746">
        <f t="shared" si="42"/>
        <v>31.811402564102551</v>
      </c>
      <c r="DF41" s="746">
        <f t="shared" si="42"/>
        <v>32.393766666666671</v>
      </c>
      <c r="DG41" s="746">
        <f t="shared" si="42"/>
        <v>32.976130769230799</v>
      </c>
      <c r="DH41" s="746">
        <f t="shared" si="42"/>
        <v>33.558494871794849</v>
      </c>
      <c r="DI41" s="746">
        <f t="shared" si="42"/>
        <v>34.140858974358977</v>
      </c>
      <c r="DJ41" s="746">
        <f t="shared" si="42"/>
        <v>34.723223076923098</v>
      </c>
      <c r="DK41" s="746">
        <f t="shared" si="42"/>
        <v>35.305587179487148</v>
      </c>
      <c r="DL41" s="746">
        <f t="shared" si="42"/>
        <v>35.887951282051276</v>
      </c>
      <c r="DM41" s="746">
        <f t="shared" si="42"/>
        <v>36.470315384615397</v>
      </c>
      <c r="DN41" s="746">
        <f t="shared" si="42"/>
        <v>37.052679487179525</v>
      </c>
      <c r="DO41" s="746">
        <f t="shared" si="42"/>
        <v>37.635043589743574</v>
      </c>
      <c r="DP41" s="746">
        <f t="shared" si="42"/>
        <v>38.217407692307702</v>
      </c>
      <c r="DQ41" s="746">
        <f t="shared" si="42"/>
        <v>38.799771794871823</v>
      </c>
      <c r="DR41" s="746">
        <f t="shared" si="42"/>
        <v>39.382135897435873</v>
      </c>
      <c r="DS41" s="746">
        <f t="shared" si="42"/>
        <v>39.964500000000001</v>
      </c>
      <c r="DT41" s="746">
        <f t="shared" si="42"/>
        <v>40.546864102564122</v>
      </c>
      <c r="DU41" s="746">
        <f t="shared" si="42"/>
        <v>41.129228205128179</v>
      </c>
      <c r="DV41" s="746">
        <f t="shared" si="42"/>
        <v>41.7115923076923</v>
      </c>
      <c r="DW41" s="746">
        <f t="shared" si="42"/>
        <v>42.293956410256428</v>
      </c>
      <c r="DX41" s="746">
        <f t="shared" si="42"/>
        <v>42.876320512820548</v>
      </c>
      <c r="DY41" s="746">
        <f t="shared" si="42"/>
        <v>43.458684615384598</v>
      </c>
      <c r="DZ41" s="746">
        <f t="shared" si="42"/>
        <v>44.041048717948726</v>
      </c>
      <c r="EA41" s="746">
        <f t="shared" si="42"/>
        <v>44.623412820512847</v>
      </c>
      <c r="EB41" s="746">
        <f t="shared" si="42"/>
        <v>45.205776923076904</v>
      </c>
      <c r="EC41" s="746">
        <f>0.75*EC36</f>
        <v>42.075000000000003</v>
      </c>
      <c r="ED41" s="746">
        <f t="shared" ref="ED41:FU41" si="43">0.75*ED36</f>
        <v>43.2</v>
      </c>
      <c r="EE41" s="746">
        <f t="shared" si="43"/>
        <v>41.775000000000006</v>
      </c>
      <c r="EF41" s="746">
        <f t="shared" si="43"/>
        <v>44.962500000000006</v>
      </c>
      <c r="EG41" s="746">
        <f t="shared" si="43"/>
        <v>51.427499999999995</v>
      </c>
      <c r="EH41" s="746">
        <f t="shared" si="43"/>
        <v>59.775000000000006</v>
      </c>
      <c r="EI41" s="746">
        <f t="shared" si="43"/>
        <v>63.757500000000007</v>
      </c>
      <c r="EJ41" s="746">
        <f t="shared" si="43"/>
        <v>55.064999999999998</v>
      </c>
      <c r="EK41" s="746">
        <f t="shared" si="43"/>
        <v>51.1875</v>
      </c>
      <c r="EL41" s="746">
        <f t="shared" si="43"/>
        <v>39.9375</v>
      </c>
      <c r="EM41" s="746">
        <f t="shared" si="43"/>
        <v>49.094999999999999</v>
      </c>
      <c r="EN41" s="746">
        <f t="shared" si="43"/>
        <v>45.697499999999998</v>
      </c>
      <c r="EO41" s="746">
        <f t="shared" si="43"/>
        <v>44.775000000000006</v>
      </c>
      <c r="EP41" s="746">
        <f t="shared" si="43"/>
        <v>44.204999999999998</v>
      </c>
      <c r="EQ41" s="746">
        <f t="shared" si="43"/>
        <v>43.462500000000006</v>
      </c>
      <c r="ER41" s="746">
        <f t="shared" si="43"/>
        <v>58.86</v>
      </c>
      <c r="ES41" s="746">
        <f t="shared" si="43"/>
        <v>61.882500000000007</v>
      </c>
      <c r="ET41" s="746">
        <f t="shared" si="43"/>
        <v>62.699999999999996</v>
      </c>
      <c r="EU41" s="746">
        <f t="shared" si="43"/>
        <v>76.612500000000011</v>
      </c>
      <c r="EV41" s="746">
        <f t="shared" si="43"/>
        <v>55.935000000000002</v>
      </c>
      <c r="EW41" s="746">
        <f t="shared" si="43"/>
        <v>58.837500000000006</v>
      </c>
      <c r="EX41" s="746">
        <f t="shared" si="43"/>
        <v>57.652500000000003</v>
      </c>
      <c r="EY41" s="746">
        <f t="shared" si="43"/>
        <v>61.792500000000004</v>
      </c>
      <c r="EZ41" s="746">
        <f t="shared" si="43"/>
        <v>58.41</v>
      </c>
      <c r="FA41" s="746">
        <f t="shared" si="43"/>
        <v>56.542500000000004</v>
      </c>
      <c r="FB41" s="746">
        <f t="shared" si="43"/>
        <v>50.137499999999996</v>
      </c>
      <c r="FC41" s="746">
        <f t="shared" si="43"/>
        <v>48.435000000000002</v>
      </c>
      <c r="FD41" s="746">
        <f t="shared" si="43"/>
        <v>63.727499999999999</v>
      </c>
      <c r="FE41" s="746">
        <f t="shared" si="43"/>
        <v>58.552499999999995</v>
      </c>
      <c r="FF41" s="746">
        <f t="shared" si="43"/>
        <v>53.377499999999998</v>
      </c>
      <c r="FG41" s="746">
        <f t="shared" si="43"/>
        <v>51.172499999999999</v>
      </c>
      <c r="FH41" s="746">
        <f t="shared" si="43"/>
        <v>51.900000000000006</v>
      </c>
      <c r="FI41" s="746">
        <f t="shared" si="43"/>
        <v>53.37</v>
      </c>
      <c r="FJ41" s="746">
        <f t="shared" si="43"/>
        <v>62.175000000000004</v>
      </c>
      <c r="FK41" s="746">
        <f t="shared" si="43"/>
        <v>66.66</v>
      </c>
      <c r="FL41" s="746">
        <f t="shared" si="43"/>
        <v>60.105000000000004</v>
      </c>
      <c r="FM41" s="746">
        <f t="shared" si="43"/>
        <v>67.072500000000005</v>
      </c>
      <c r="FN41" s="746">
        <f t="shared" si="43"/>
        <v>77.085000000000008</v>
      </c>
      <c r="FO41" s="746">
        <f t="shared" si="43"/>
        <v>76.6875</v>
      </c>
      <c r="FP41" s="746">
        <f t="shared" si="43"/>
        <v>75.239999999999995</v>
      </c>
      <c r="FQ41" s="746">
        <f t="shared" si="43"/>
        <v>61.005000000000003</v>
      </c>
      <c r="FR41" s="746">
        <f t="shared" si="43"/>
        <v>68.002499999999998</v>
      </c>
      <c r="FS41" s="746">
        <f t="shared" si="43"/>
        <v>68.894999999999996</v>
      </c>
      <c r="FT41" s="746">
        <f t="shared" si="43"/>
        <v>71.992499999999993</v>
      </c>
      <c r="FU41" s="746">
        <f t="shared" si="43"/>
        <v>71.212500000000006</v>
      </c>
      <c r="FV41" s="747">
        <f t="shared" si="26"/>
        <v>57.476166666666664</v>
      </c>
      <c r="FW41" s="312"/>
    </row>
    <row r="42" spans="1:179">
      <c r="A42" s="1024" t="s">
        <v>328</v>
      </c>
      <c r="B42" s="632" t="s">
        <v>307</v>
      </c>
      <c r="C42" s="633" t="s">
        <v>326</v>
      </c>
      <c r="D42" s="633"/>
      <c r="E42" s="748">
        <v>58.016529232000003</v>
      </c>
      <c r="F42" s="749" t="s">
        <v>329</v>
      </c>
      <c r="G42" s="750">
        <f t="shared" ref="G42:AS42" si="44">$E$42*G16</f>
        <v>6421791.6041608481</v>
      </c>
      <c r="H42" s="750">
        <f t="shared" si="44"/>
        <v>6421791.6041608481</v>
      </c>
      <c r="I42" s="750">
        <f t="shared" si="44"/>
        <v>6421791.6041608481</v>
      </c>
      <c r="J42" s="750">
        <f t="shared" si="44"/>
        <v>6421791.6041608481</v>
      </c>
      <c r="K42" s="750">
        <f t="shared" si="44"/>
        <v>6421791.6041608481</v>
      </c>
      <c r="L42" s="750">
        <f t="shared" si="44"/>
        <v>6421791.6041608481</v>
      </c>
      <c r="M42" s="750">
        <f t="shared" si="44"/>
        <v>6421791.6041608481</v>
      </c>
      <c r="N42" s="750">
        <f t="shared" si="44"/>
        <v>6421791.6041608481</v>
      </c>
      <c r="O42" s="750">
        <f t="shared" si="44"/>
        <v>6421791.6041608481</v>
      </c>
      <c r="P42" s="750">
        <f t="shared" si="44"/>
        <v>6421791.6041608481</v>
      </c>
      <c r="Q42" s="750">
        <f t="shared" si="44"/>
        <v>6421791.6041608481</v>
      </c>
      <c r="R42" s="750">
        <f t="shared" si="44"/>
        <v>6421791.6041608481</v>
      </c>
      <c r="S42" s="750">
        <f t="shared" si="44"/>
        <v>6421791.6041608481</v>
      </c>
      <c r="T42" s="750">
        <f t="shared" si="44"/>
        <v>6421791.6041608481</v>
      </c>
      <c r="U42" s="750">
        <f t="shared" si="44"/>
        <v>6421791.6041608481</v>
      </c>
      <c r="V42" s="750">
        <f t="shared" si="44"/>
        <v>6421791.6041608481</v>
      </c>
      <c r="W42" s="750">
        <f t="shared" si="44"/>
        <v>6421791.6041608481</v>
      </c>
      <c r="X42" s="750">
        <f t="shared" si="44"/>
        <v>6421791.6041608481</v>
      </c>
      <c r="Y42" s="750">
        <f t="shared" si="44"/>
        <v>6421791.6041608481</v>
      </c>
      <c r="Z42" s="750">
        <f t="shared" si="44"/>
        <v>6421791.6041608481</v>
      </c>
      <c r="AA42" s="750">
        <f t="shared" si="44"/>
        <v>6421791.6041608481</v>
      </c>
      <c r="AB42" s="750">
        <f t="shared" si="44"/>
        <v>6421791.6041608481</v>
      </c>
      <c r="AC42" s="750">
        <f t="shared" si="44"/>
        <v>6421791.6041608481</v>
      </c>
      <c r="AD42" s="750">
        <f t="shared" si="44"/>
        <v>6421791.6041608481</v>
      </c>
      <c r="AE42" s="750">
        <f t="shared" si="44"/>
        <v>6421791.6041608481</v>
      </c>
      <c r="AF42" s="750">
        <f t="shared" si="44"/>
        <v>6421791.6041608481</v>
      </c>
      <c r="AG42" s="750">
        <f t="shared" si="44"/>
        <v>6421791.6041608481</v>
      </c>
      <c r="AH42" s="750">
        <f t="shared" si="44"/>
        <v>6421791.6041608481</v>
      </c>
      <c r="AI42" s="750">
        <f t="shared" si="44"/>
        <v>6421791.6041608481</v>
      </c>
      <c r="AJ42" s="750">
        <f t="shared" si="44"/>
        <v>6421791.6041608481</v>
      </c>
      <c r="AK42" s="750">
        <f t="shared" si="44"/>
        <v>6421791.6041608481</v>
      </c>
      <c r="AL42" s="750">
        <f t="shared" si="44"/>
        <v>6421791.6041608481</v>
      </c>
      <c r="AM42" s="750">
        <f t="shared" si="44"/>
        <v>6421791.6041608481</v>
      </c>
      <c r="AN42" s="750">
        <f t="shared" si="44"/>
        <v>6421791.6041608481</v>
      </c>
      <c r="AO42" s="750">
        <f t="shared" si="44"/>
        <v>6421791.6041608481</v>
      </c>
      <c r="AP42" s="750">
        <f t="shared" si="44"/>
        <v>6421791.6041608481</v>
      </c>
      <c r="AQ42" s="750">
        <f t="shared" si="44"/>
        <v>6421791.6041608481</v>
      </c>
      <c r="AR42" s="750">
        <f t="shared" si="44"/>
        <v>6421791.6041608481</v>
      </c>
      <c r="AS42" s="750">
        <f t="shared" si="44"/>
        <v>6421791.6041608481</v>
      </c>
      <c r="AT42" s="750">
        <f>$E$42*AT16</f>
        <v>6421791.6041608481</v>
      </c>
      <c r="AU42" s="751">
        <f t="shared" ref="AU42:CL42" si="45">$E$42*AU16</f>
        <v>6421791.6041608481</v>
      </c>
      <c r="AV42" s="751">
        <f t="shared" si="45"/>
        <v>6421791.6041608481</v>
      </c>
      <c r="AW42" s="751">
        <f t="shared" si="45"/>
        <v>6421791.6041608481</v>
      </c>
      <c r="AX42" s="751">
        <f t="shared" si="45"/>
        <v>6421791.6041608481</v>
      </c>
      <c r="AY42" s="751">
        <f t="shared" si="45"/>
        <v>6421791.6041608481</v>
      </c>
      <c r="AZ42" s="751">
        <f t="shared" si="45"/>
        <v>6421791.6041608481</v>
      </c>
      <c r="BA42" s="751">
        <f t="shared" si="45"/>
        <v>6421791.6041608481</v>
      </c>
      <c r="BB42" s="751">
        <f t="shared" si="45"/>
        <v>6421791.6041608481</v>
      </c>
      <c r="BC42" s="751">
        <f t="shared" si="45"/>
        <v>6421791.6041608481</v>
      </c>
      <c r="BD42" s="751">
        <f t="shared" si="45"/>
        <v>6421791.6041608481</v>
      </c>
      <c r="BE42" s="751">
        <f t="shared" si="45"/>
        <v>6421791.6041608481</v>
      </c>
      <c r="BF42" s="751">
        <f t="shared" si="45"/>
        <v>6421791.6041608481</v>
      </c>
      <c r="BG42" s="751">
        <f t="shared" si="45"/>
        <v>6421791.6041608481</v>
      </c>
      <c r="BH42" s="751">
        <f t="shared" si="45"/>
        <v>6421791.6041608481</v>
      </c>
      <c r="BI42" s="751">
        <f t="shared" si="45"/>
        <v>6421791.6041608481</v>
      </c>
      <c r="BJ42" s="751">
        <f t="shared" si="45"/>
        <v>6421791.6041608481</v>
      </c>
      <c r="BK42" s="751">
        <f t="shared" si="45"/>
        <v>6421791.6041608481</v>
      </c>
      <c r="BL42" s="751">
        <f t="shared" si="45"/>
        <v>6421791.6041608481</v>
      </c>
      <c r="BM42" s="751">
        <f t="shared" si="45"/>
        <v>6421791.6041608481</v>
      </c>
      <c r="BN42" s="751">
        <f t="shared" si="45"/>
        <v>6421791.6041608481</v>
      </c>
      <c r="BO42" s="751">
        <f t="shared" si="45"/>
        <v>6421791.6041608481</v>
      </c>
      <c r="BP42" s="751">
        <f t="shared" si="45"/>
        <v>6421791.6041608481</v>
      </c>
      <c r="BQ42" s="751">
        <f t="shared" si="45"/>
        <v>6421791.6041608481</v>
      </c>
      <c r="BR42" s="751">
        <f t="shared" si="45"/>
        <v>6421791.6041608481</v>
      </c>
      <c r="BS42" s="751">
        <f t="shared" si="45"/>
        <v>6421791.6041608481</v>
      </c>
      <c r="BT42" s="751">
        <f t="shared" si="45"/>
        <v>6421791.6041608481</v>
      </c>
      <c r="BU42" s="751">
        <f t="shared" si="45"/>
        <v>6421791.6041608481</v>
      </c>
      <c r="BV42" s="751">
        <f t="shared" si="45"/>
        <v>6421791.6041608481</v>
      </c>
      <c r="BW42" s="751">
        <f t="shared" si="45"/>
        <v>6421791.6041608481</v>
      </c>
      <c r="BX42" s="751">
        <f t="shared" si="45"/>
        <v>6421791.6041608481</v>
      </c>
      <c r="BY42" s="751">
        <f t="shared" si="45"/>
        <v>6421791.6041608481</v>
      </c>
      <c r="BZ42" s="751">
        <f t="shared" si="45"/>
        <v>6421791.6041608481</v>
      </c>
      <c r="CA42" s="751">
        <f t="shared" si="45"/>
        <v>6421791.6041608481</v>
      </c>
      <c r="CB42" s="751">
        <f t="shared" si="45"/>
        <v>6421791.6041608481</v>
      </c>
      <c r="CC42" s="751">
        <f t="shared" si="45"/>
        <v>6421791.6041608481</v>
      </c>
      <c r="CD42" s="751">
        <f t="shared" si="45"/>
        <v>6421791.6041608481</v>
      </c>
      <c r="CE42" s="751">
        <f t="shared" si="45"/>
        <v>6421791.6041608481</v>
      </c>
      <c r="CF42" s="751">
        <f t="shared" si="45"/>
        <v>6421791.6041608481</v>
      </c>
      <c r="CG42" s="751">
        <f t="shared" si="45"/>
        <v>6421791.6041608481</v>
      </c>
      <c r="CH42" s="751">
        <f t="shared" si="45"/>
        <v>6421791.6041608481</v>
      </c>
      <c r="CI42" s="751">
        <f t="shared" si="45"/>
        <v>6421791.6041608481</v>
      </c>
      <c r="CJ42" s="751">
        <f t="shared" si="45"/>
        <v>6421791.6041608481</v>
      </c>
      <c r="CK42" s="751">
        <f t="shared" si="45"/>
        <v>6421791.6041608481</v>
      </c>
      <c r="CL42" s="751">
        <f t="shared" si="45"/>
        <v>6421791.6041608481</v>
      </c>
      <c r="CM42" s="642">
        <f t="shared" si="0"/>
        <v>6421791.6041608471</v>
      </c>
      <c r="CN42" s="245"/>
      <c r="CO42" s="245"/>
      <c r="CP42" s="245"/>
      <c r="CQ42" s="245"/>
      <c r="CR42" s="245"/>
      <c r="CS42" s="245"/>
      <c r="CT42" s="245"/>
      <c r="CU42" s="245"/>
      <c r="CV42" s="245"/>
      <c r="CW42" s="245"/>
      <c r="CX42" s="245"/>
      <c r="CY42" s="245"/>
      <c r="CZ42" s="245"/>
      <c r="DA42" s="245"/>
      <c r="DB42" s="245"/>
      <c r="DC42" s="245"/>
      <c r="DD42" s="245"/>
      <c r="DE42" s="245"/>
      <c r="DF42" s="245"/>
      <c r="DG42" s="245"/>
      <c r="DH42" s="245"/>
      <c r="DI42" s="245"/>
      <c r="DJ42" s="245"/>
      <c r="DK42" s="245"/>
      <c r="DL42" s="245"/>
      <c r="DM42" s="245"/>
      <c r="DN42" s="245"/>
      <c r="DO42" s="245"/>
      <c r="DP42" s="245"/>
      <c r="DQ42" s="245"/>
      <c r="DR42" s="245"/>
      <c r="DS42" s="245"/>
      <c r="DT42" s="245"/>
      <c r="DU42" s="245"/>
      <c r="DV42" s="245"/>
      <c r="DW42" s="245"/>
      <c r="DX42" s="245"/>
      <c r="DY42" s="245"/>
      <c r="DZ42" s="245"/>
      <c r="EA42" s="245"/>
      <c r="EB42" s="245"/>
      <c r="EC42" s="245"/>
      <c r="ED42" s="245"/>
      <c r="EE42" s="245"/>
      <c r="EF42" s="245"/>
      <c r="EG42" s="245"/>
      <c r="EH42" s="245"/>
      <c r="EI42" s="245"/>
      <c r="EJ42" s="245"/>
      <c r="EK42" s="245"/>
      <c r="EL42" s="245"/>
      <c r="EM42" s="245"/>
      <c r="EN42" s="245"/>
      <c r="EO42" s="245"/>
      <c r="EP42" s="245"/>
      <c r="EQ42" s="245"/>
      <c r="ER42" s="245"/>
      <c r="ES42" s="245"/>
      <c r="ET42" s="245"/>
      <c r="EU42" s="245"/>
      <c r="EV42" s="245"/>
      <c r="EW42" s="245"/>
      <c r="EX42" s="245"/>
      <c r="EY42" s="245"/>
      <c r="EZ42" s="245"/>
      <c r="FA42" s="245"/>
      <c r="FB42" s="245"/>
      <c r="FC42" s="245"/>
      <c r="FD42" s="245"/>
      <c r="FE42" s="245"/>
      <c r="FF42" s="245"/>
      <c r="FG42" s="245"/>
      <c r="FH42" s="245"/>
      <c r="FI42" s="245"/>
      <c r="FJ42" s="245"/>
      <c r="FK42" s="245"/>
      <c r="FL42" s="245"/>
      <c r="FM42" s="245"/>
      <c r="FN42" s="245"/>
      <c r="FO42" s="245"/>
      <c r="FP42" s="245"/>
      <c r="FQ42" s="245"/>
      <c r="FR42" s="245"/>
      <c r="FS42" s="245"/>
      <c r="FT42" s="245"/>
      <c r="FU42" s="245"/>
      <c r="FV42" s="245"/>
      <c r="FW42" s="313"/>
    </row>
    <row r="43" spans="1:179">
      <c r="A43" s="1025"/>
      <c r="B43" s="647" t="s">
        <v>307</v>
      </c>
      <c r="C43" s="648" t="s">
        <v>326</v>
      </c>
      <c r="D43" s="640"/>
      <c r="E43" s="644">
        <v>113.95</v>
      </c>
      <c r="F43" s="714" t="s">
        <v>330</v>
      </c>
      <c r="G43" s="752">
        <f t="shared" ref="G43:AS43" si="46">$E$43*G16</f>
        <v>12613011.550000001</v>
      </c>
      <c r="H43" s="752">
        <f t="shared" si="46"/>
        <v>12613011.550000001</v>
      </c>
      <c r="I43" s="752">
        <f t="shared" si="46"/>
        <v>12613011.550000001</v>
      </c>
      <c r="J43" s="752">
        <f t="shared" si="46"/>
        <v>12613011.550000001</v>
      </c>
      <c r="K43" s="752">
        <f t="shared" si="46"/>
        <v>12613011.550000001</v>
      </c>
      <c r="L43" s="752">
        <f t="shared" si="46"/>
        <v>12613011.550000001</v>
      </c>
      <c r="M43" s="752">
        <f t="shared" si="46"/>
        <v>12613011.550000001</v>
      </c>
      <c r="N43" s="752">
        <f t="shared" si="46"/>
        <v>12613011.550000001</v>
      </c>
      <c r="O43" s="752">
        <f t="shared" si="46"/>
        <v>12613011.550000001</v>
      </c>
      <c r="P43" s="752">
        <f t="shared" si="46"/>
        <v>12613011.550000001</v>
      </c>
      <c r="Q43" s="752">
        <f t="shared" si="46"/>
        <v>12613011.550000001</v>
      </c>
      <c r="R43" s="752">
        <f t="shared" si="46"/>
        <v>12613011.550000001</v>
      </c>
      <c r="S43" s="752">
        <f t="shared" si="46"/>
        <v>12613011.550000001</v>
      </c>
      <c r="T43" s="752">
        <f t="shared" si="46"/>
        <v>12613011.550000001</v>
      </c>
      <c r="U43" s="752">
        <f t="shared" si="46"/>
        <v>12613011.550000001</v>
      </c>
      <c r="V43" s="752">
        <f t="shared" si="46"/>
        <v>12613011.550000001</v>
      </c>
      <c r="W43" s="752">
        <f t="shared" si="46"/>
        <v>12613011.550000001</v>
      </c>
      <c r="X43" s="752">
        <f t="shared" si="46"/>
        <v>12613011.550000001</v>
      </c>
      <c r="Y43" s="752">
        <f t="shared" si="46"/>
        <v>12613011.550000001</v>
      </c>
      <c r="Z43" s="752">
        <f t="shared" si="46"/>
        <v>12613011.550000001</v>
      </c>
      <c r="AA43" s="752">
        <f t="shared" si="46"/>
        <v>12613011.550000001</v>
      </c>
      <c r="AB43" s="752">
        <f t="shared" si="46"/>
        <v>12613011.550000001</v>
      </c>
      <c r="AC43" s="752">
        <f t="shared" si="46"/>
        <v>12613011.550000001</v>
      </c>
      <c r="AD43" s="752">
        <f t="shared" si="46"/>
        <v>12613011.550000001</v>
      </c>
      <c r="AE43" s="752">
        <f t="shared" si="46"/>
        <v>12613011.550000001</v>
      </c>
      <c r="AF43" s="752">
        <f t="shared" si="46"/>
        <v>12613011.550000001</v>
      </c>
      <c r="AG43" s="752">
        <f t="shared" si="46"/>
        <v>12613011.550000001</v>
      </c>
      <c r="AH43" s="752">
        <f t="shared" si="46"/>
        <v>12613011.550000001</v>
      </c>
      <c r="AI43" s="752">
        <f t="shared" si="46"/>
        <v>12613011.550000001</v>
      </c>
      <c r="AJ43" s="752">
        <f t="shared" si="46"/>
        <v>12613011.550000001</v>
      </c>
      <c r="AK43" s="752">
        <f t="shared" si="46"/>
        <v>12613011.550000001</v>
      </c>
      <c r="AL43" s="752">
        <f t="shared" si="46"/>
        <v>12613011.550000001</v>
      </c>
      <c r="AM43" s="752">
        <f t="shared" si="46"/>
        <v>12613011.550000001</v>
      </c>
      <c r="AN43" s="752">
        <f t="shared" si="46"/>
        <v>12613011.550000001</v>
      </c>
      <c r="AO43" s="752">
        <f t="shared" si="46"/>
        <v>12613011.550000001</v>
      </c>
      <c r="AP43" s="752">
        <f t="shared" si="46"/>
        <v>12613011.550000001</v>
      </c>
      <c r="AQ43" s="752">
        <f t="shared" si="46"/>
        <v>12613011.550000001</v>
      </c>
      <c r="AR43" s="752">
        <f t="shared" si="46"/>
        <v>12613011.550000001</v>
      </c>
      <c r="AS43" s="752">
        <f t="shared" si="46"/>
        <v>12613011.550000001</v>
      </c>
      <c r="AT43" s="752">
        <f>$E$43*AT16</f>
        <v>12613011.550000001</v>
      </c>
      <c r="AU43" s="753">
        <f t="shared" ref="AU43:CL43" si="47">$E$43*AU16</f>
        <v>12613011.550000001</v>
      </c>
      <c r="AV43" s="753">
        <f t="shared" si="47"/>
        <v>12613011.550000001</v>
      </c>
      <c r="AW43" s="753">
        <f t="shared" si="47"/>
        <v>12613011.550000001</v>
      </c>
      <c r="AX43" s="753">
        <f t="shared" si="47"/>
        <v>12613011.550000001</v>
      </c>
      <c r="AY43" s="753">
        <f t="shared" si="47"/>
        <v>12613011.550000001</v>
      </c>
      <c r="AZ43" s="753">
        <f t="shared" si="47"/>
        <v>12613011.550000001</v>
      </c>
      <c r="BA43" s="753">
        <f t="shared" si="47"/>
        <v>12613011.550000001</v>
      </c>
      <c r="BB43" s="753">
        <f t="shared" si="47"/>
        <v>12613011.550000001</v>
      </c>
      <c r="BC43" s="753">
        <f t="shared" si="47"/>
        <v>12613011.550000001</v>
      </c>
      <c r="BD43" s="753">
        <f t="shared" si="47"/>
        <v>12613011.550000001</v>
      </c>
      <c r="BE43" s="753">
        <f t="shared" si="47"/>
        <v>12613011.550000001</v>
      </c>
      <c r="BF43" s="753">
        <f t="shared" si="47"/>
        <v>12613011.550000001</v>
      </c>
      <c r="BG43" s="753">
        <f t="shared" si="47"/>
        <v>12613011.550000001</v>
      </c>
      <c r="BH43" s="753">
        <f t="shared" si="47"/>
        <v>12613011.550000001</v>
      </c>
      <c r="BI43" s="753">
        <f t="shared" si="47"/>
        <v>12613011.550000001</v>
      </c>
      <c r="BJ43" s="753">
        <f t="shared" si="47"/>
        <v>12613011.550000001</v>
      </c>
      <c r="BK43" s="753">
        <f t="shared" si="47"/>
        <v>12613011.550000001</v>
      </c>
      <c r="BL43" s="753">
        <f t="shared" si="47"/>
        <v>12613011.550000001</v>
      </c>
      <c r="BM43" s="753">
        <f t="shared" si="47"/>
        <v>12613011.550000001</v>
      </c>
      <c r="BN43" s="753">
        <f t="shared" si="47"/>
        <v>12613011.550000001</v>
      </c>
      <c r="BO43" s="753">
        <f t="shared" si="47"/>
        <v>12613011.550000001</v>
      </c>
      <c r="BP43" s="753">
        <f t="shared" si="47"/>
        <v>12613011.550000001</v>
      </c>
      <c r="BQ43" s="753">
        <f t="shared" si="47"/>
        <v>12613011.550000001</v>
      </c>
      <c r="BR43" s="753">
        <f t="shared" si="47"/>
        <v>12613011.550000001</v>
      </c>
      <c r="BS43" s="753">
        <f t="shared" si="47"/>
        <v>12613011.550000001</v>
      </c>
      <c r="BT43" s="753">
        <f t="shared" si="47"/>
        <v>12613011.550000001</v>
      </c>
      <c r="BU43" s="753">
        <f t="shared" si="47"/>
        <v>12613011.550000001</v>
      </c>
      <c r="BV43" s="753">
        <f t="shared" si="47"/>
        <v>12613011.550000001</v>
      </c>
      <c r="BW43" s="753">
        <f t="shared" si="47"/>
        <v>12613011.550000001</v>
      </c>
      <c r="BX43" s="753">
        <f t="shared" si="47"/>
        <v>12613011.550000001</v>
      </c>
      <c r="BY43" s="753">
        <f t="shared" si="47"/>
        <v>12613011.550000001</v>
      </c>
      <c r="BZ43" s="753">
        <f t="shared" si="47"/>
        <v>12613011.550000001</v>
      </c>
      <c r="CA43" s="753">
        <f t="shared" si="47"/>
        <v>12613011.550000001</v>
      </c>
      <c r="CB43" s="753">
        <f t="shared" si="47"/>
        <v>12613011.550000001</v>
      </c>
      <c r="CC43" s="753">
        <f t="shared" si="47"/>
        <v>12613011.550000001</v>
      </c>
      <c r="CD43" s="753">
        <f t="shared" si="47"/>
        <v>12613011.550000001</v>
      </c>
      <c r="CE43" s="753">
        <f t="shared" si="47"/>
        <v>12613011.550000001</v>
      </c>
      <c r="CF43" s="753">
        <f t="shared" si="47"/>
        <v>12613011.550000001</v>
      </c>
      <c r="CG43" s="753">
        <f t="shared" si="47"/>
        <v>12613011.550000001</v>
      </c>
      <c r="CH43" s="753">
        <f t="shared" si="47"/>
        <v>12613011.550000001</v>
      </c>
      <c r="CI43" s="753">
        <f t="shared" si="47"/>
        <v>12613011.550000001</v>
      </c>
      <c r="CJ43" s="753">
        <f t="shared" si="47"/>
        <v>12613011.550000001</v>
      </c>
      <c r="CK43" s="753">
        <f t="shared" si="47"/>
        <v>12613011.550000001</v>
      </c>
      <c r="CL43" s="753">
        <f t="shared" si="47"/>
        <v>12613011.550000001</v>
      </c>
      <c r="CM43" s="642">
        <f t="shared" si="0"/>
        <v>12613011.54999998</v>
      </c>
      <c r="CN43" s="245"/>
      <c r="CO43" s="245"/>
      <c r="CP43" s="245"/>
      <c r="CQ43" s="245"/>
      <c r="CR43" s="245"/>
      <c r="CS43" s="245"/>
      <c r="CT43" s="245"/>
      <c r="CU43" s="245"/>
      <c r="CV43" s="245"/>
      <c r="CW43" s="245"/>
      <c r="CX43" s="245"/>
      <c r="CY43" s="245"/>
      <c r="CZ43" s="245"/>
      <c r="DA43" s="245"/>
      <c r="DB43" s="245"/>
      <c r="DC43" s="245"/>
      <c r="DD43" s="245"/>
      <c r="DE43" s="245"/>
      <c r="DF43" s="245"/>
      <c r="DG43" s="245"/>
      <c r="DH43" s="245"/>
      <c r="DI43" s="245"/>
      <c r="DJ43" s="245"/>
      <c r="DK43" s="245"/>
      <c r="DL43" s="245"/>
      <c r="DM43" s="245"/>
      <c r="DN43" s="245"/>
      <c r="DO43" s="245"/>
      <c r="DP43" s="245"/>
      <c r="DQ43" s="245"/>
      <c r="DR43" s="245"/>
      <c r="DS43" s="245"/>
      <c r="DT43" s="245"/>
      <c r="DU43" s="245"/>
      <c r="DV43" s="245"/>
      <c r="DW43" s="245"/>
      <c r="DX43" s="245"/>
      <c r="DY43" s="245"/>
      <c r="DZ43" s="245"/>
      <c r="EA43" s="245"/>
      <c r="EB43" s="245"/>
      <c r="EC43" s="245"/>
      <c r="ED43" s="245"/>
      <c r="EE43" s="245"/>
      <c r="EF43" s="245"/>
      <c r="EG43" s="245"/>
      <c r="EH43" s="245"/>
      <c r="EI43" s="245"/>
      <c r="EJ43" s="245"/>
      <c r="EK43" s="245"/>
      <c r="EL43" s="245"/>
      <c r="EM43" s="245"/>
      <c r="EN43" s="245"/>
      <c r="EO43" s="245"/>
      <c r="EP43" s="245"/>
      <c r="EQ43" s="245"/>
      <c r="ER43" s="245"/>
      <c r="ES43" s="245"/>
      <c r="ET43" s="245"/>
      <c r="EU43" s="245"/>
      <c r="EV43" s="245"/>
      <c r="EW43" s="245"/>
      <c r="EX43" s="245"/>
      <c r="EY43" s="245"/>
      <c r="EZ43" s="245"/>
      <c r="FA43" s="245"/>
      <c r="FB43" s="245"/>
      <c r="FC43" s="245"/>
      <c r="FD43" s="245"/>
      <c r="FE43" s="245"/>
      <c r="FF43" s="245"/>
      <c r="FG43" s="245"/>
      <c r="FH43" s="245"/>
      <c r="FI43" s="245"/>
      <c r="FJ43" s="245"/>
      <c r="FK43" s="245"/>
      <c r="FL43" s="245"/>
      <c r="FM43" s="245"/>
      <c r="FN43" s="245"/>
      <c r="FO43" s="245"/>
      <c r="FP43" s="245"/>
      <c r="FQ43" s="245"/>
      <c r="FR43" s="245"/>
      <c r="FS43" s="245"/>
      <c r="FT43" s="245"/>
      <c r="FU43" s="245"/>
      <c r="FV43" s="245"/>
    </row>
    <row r="44" spans="1:179" ht="17.25" customHeight="1">
      <c r="A44" s="754" t="s">
        <v>31</v>
      </c>
      <c r="B44" s="755" t="s">
        <v>307</v>
      </c>
      <c r="C44" s="754" t="s">
        <v>326</v>
      </c>
      <c r="D44" s="754"/>
      <c r="E44" s="756">
        <v>7924</v>
      </c>
      <c r="F44" s="757" t="s">
        <v>331</v>
      </c>
      <c r="G44" s="758">
        <f t="shared" ref="G44:AS44" si="48">7924*G16</f>
        <v>877099636</v>
      </c>
      <c r="H44" s="758">
        <f t="shared" si="48"/>
        <v>877099636</v>
      </c>
      <c r="I44" s="758">
        <f t="shared" si="48"/>
        <v>877099636</v>
      </c>
      <c r="J44" s="758">
        <f t="shared" si="48"/>
        <v>877099636</v>
      </c>
      <c r="K44" s="758">
        <f t="shared" si="48"/>
        <v>877099636</v>
      </c>
      <c r="L44" s="758">
        <f t="shared" si="48"/>
        <v>877099636</v>
      </c>
      <c r="M44" s="758">
        <f t="shared" si="48"/>
        <v>877099636</v>
      </c>
      <c r="N44" s="758">
        <f t="shared" si="48"/>
        <v>877099636</v>
      </c>
      <c r="O44" s="758">
        <f t="shared" si="48"/>
        <v>877099636</v>
      </c>
      <c r="P44" s="758">
        <f t="shared" si="48"/>
        <v>877099636</v>
      </c>
      <c r="Q44" s="758">
        <f t="shared" si="48"/>
        <v>877099636</v>
      </c>
      <c r="R44" s="758">
        <f t="shared" si="48"/>
        <v>877099636</v>
      </c>
      <c r="S44" s="758">
        <f t="shared" si="48"/>
        <v>877099636</v>
      </c>
      <c r="T44" s="758">
        <f t="shared" si="48"/>
        <v>877099636</v>
      </c>
      <c r="U44" s="758">
        <f t="shared" si="48"/>
        <v>877099636</v>
      </c>
      <c r="V44" s="758">
        <f t="shared" si="48"/>
        <v>877099636</v>
      </c>
      <c r="W44" s="758">
        <f t="shared" si="48"/>
        <v>877099636</v>
      </c>
      <c r="X44" s="758">
        <f t="shared" si="48"/>
        <v>877099636</v>
      </c>
      <c r="Y44" s="758">
        <f t="shared" si="48"/>
        <v>877099636</v>
      </c>
      <c r="Z44" s="758">
        <f t="shared" si="48"/>
        <v>877099636</v>
      </c>
      <c r="AA44" s="758">
        <f t="shared" si="48"/>
        <v>877099636</v>
      </c>
      <c r="AB44" s="758">
        <f t="shared" si="48"/>
        <v>877099636</v>
      </c>
      <c r="AC44" s="758">
        <f t="shared" si="48"/>
        <v>877099636</v>
      </c>
      <c r="AD44" s="758">
        <f t="shared" si="48"/>
        <v>877099636</v>
      </c>
      <c r="AE44" s="758">
        <f t="shared" si="48"/>
        <v>877099636</v>
      </c>
      <c r="AF44" s="758">
        <f t="shared" si="48"/>
        <v>877099636</v>
      </c>
      <c r="AG44" s="758">
        <f t="shared" si="48"/>
        <v>877099636</v>
      </c>
      <c r="AH44" s="758">
        <f t="shared" si="48"/>
        <v>877099636</v>
      </c>
      <c r="AI44" s="758">
        <f t="shared" si="48"/>
        <v>877099636</v>
      </c>
      <c r="AJ44" s="758">
        <f t="shared" si="48"/>
        <v>877099636</v>
      </c>
      <c r="AK44" s="758">
        <f t="shared" si="48"/>
        <v>877099636</v>
      </c>
      <c r="AL44" s="758">
        <f t="shared" si="48"/>
        <v>877099636</v>
      </c>
      <c r="AM44" s="758">
        <f t="shared" si="48"/>
        <v>877099636</v>
      </c>
      <c r="AN44" s="758">
        <f t="shared" si="48"/>
        <v>877099636</v>
      </c>
      <c r="AO44" s="758">
        <f t="shared" si="48"/>
        <v>877099636</v>
      </c>
      <c r="AP44" s="758">
        <f t="shared" si="48"/>
        <v>877099636</v>
      </c>
      <c r="AQ44" s="758">
        <f t="shared" si="48"/>
        <v>877099636</v>
      </c>
      <c r="AR44" s="758">
        <f t="shared" si="48"/>
        <v>877099636</v>
      </c>
      <c r="AS44" s="758">
        <f t="shared" si="48"/>
        <v>877099636</v>
      </c>
      <c r="AT44" s="758">
        <f>7924*AT16</f>
        <v>877099636</v>
      </c>
      <c r="AU44" s="759">
        <f t="shared" ref="AU44:CL44" si="49">7924*AU16</f>
        <v>877099636</v>
      </c>
      <c r="AV44" s="759">
        <f t="shared" si="49"/>
        <v>877099636</v>
      </c>
      <c r="AW44" s="759">
        <f t="shared" si="49"/>
        <v>877099636</v>
      </c>
      <c r="AX44" s="759">
        <f t="shared" si="49"/>
        <v>877099636</v>
      </c>
      <c r="AY44" s="759">
        <f t="shared" si="49"/>
        <v>877099636</v>
      </c>
      <c r="AZ44" s="759">
        <f t="shared" si="49"/>
        <v>877099636</v>
      </c>
      <c r="BA44" s="759">
        <f t="shared" si="49"/>
        <v>877099636</v>
      </c>
      <c r="BB44" s="759">
        <f t="shared" si="49"/>
        <v>877099636</v>
      </c>
      <c r="BC44" s="759">
        <f t="shared" si="49"/>
        <v>877099636</v>
      </c>
      <c r="BD44" s="759">
        <f t="shared" si="49"/>
        <v>877099636</v>
      </c>
      <c r="BE44" s="759">
        <f t="shared" si="49"/>
        <v>877099636</v>
      </c>
      <c r="BF44" s="759">
        <f t="shared" si="49"/>
        <v>877099636</v>
      </c>
      <c r="BG44" s="759">
        <f t="shared" si="49"/>
        <v>877099636</v>
      </c>
      <c r="BH44" s="759">
        <f t="shared" si="49"/>
        <v>877099636</v>
      </c>
      <c r="BI44" s="759">
        <f t="shared" si="49"/>
        <v>877099636</v>
      </c>
      <c r="BJ44" s="759">
        <f t="shared" si="49"/>
        <v>877099636</v>
      </c>
      <c r="BK44" s="759">
        <f t="shared" si="49"/>
        <v>877099636</v>
      </c>
      <c r="BL44" s="759">
        <f t="shared" si="49"/>
        <v>877099636</v>
      </c>
      <c r="BM44" s="759">
        <f t="shared" si="49"/>
        <v>877099636</v>
      </c>
      <c r="BN44" s="759">
        <f t="shared" si="49"/>
        <v>877099636</v>
      </c>
      <c r="BO44" s="759">
        <f t="shared" si="49"/>
        <v>877099636</v>
      </c>
      <c r="BP44" s="759">
        <f t="shared" si="49"/>
        <v>877099636</v>
      </c>
      <c r="BQ44" s="759">
        <f t="shared" si="49"/>
        <v>877099636</v>
      </c>
      <c r="BR44" s="759">
        <f t="shared" si="49"/>
        <v>877099636</v>
      </c>
      <c r="BS44" s="759">
        <f t="shared" si="49"/>
        <v>877099636</v>
      </c>
      <c r="BT44" s="759">
        <f t="shared" si="49"/>
        <v>877099636</v>
      </c>
      <c r="BU44" s="759">
        <f t="shared" si="49"/>
        <v>877099636</v>
      </c>
      <c r="BV44" s="759">
        <f t="shared" si="49"/>
        <v>877099636</v>
      </c>
      <c r="BW44" s="759">
        <f t="shared" si="49"/>
        <v>877099636</v>
      </c>
      <c r="BX44" s="759">
        <f t="shared" si="49"/>
        <v>877099636</v>
      </c>
      <c r="BY44" s="759">
        <f t="shared" si="49"/>
        <v>877099636</v>
      </c>
      <c r="BZ44" s="759">
        <f t="shared" si="49"/>
        <v>877099636</v>
      </c>
      <c r="CA44" s="759">
        <f t="shared" si="49"/>
        <v>877099636</v>
      </c>
      <c r="CB44" s="759">
        <f t="shared" si="49"/>
        <v>877099636</v>
      </c>
      <c r="CC44" s="759">
        <f t="shared" si="49"/>
        <v>877099636</v>
      </c>
      <c r="CD44" s="759">
        <f t="shared" si="49"/>
        <v>877099636</v>
      </c>
      <c r="CE44" s="759">
        <f t="shared" si="49"/>
        <v>877099636</v>
      </c>
      <c r="CF44" s="759">
        <f t="shared" si="49"/>
        <v>877099636</v>
      </c>
      <c r="CG44" s="759">
        <f t="shared" si="49"/>
        <v>877099636</v>
      </c>
      <c r="CH44" s="759">
        <f t="shared" si="49"/>
        <v>877099636</v>
      </c>
      <c r="CI44" s="759">
        <f t="shared" si="49"/>
        <v>877099636</v>
      </c>
      <c r="CJ44" s="759">
        <f t="shared" si="49"/>
        <v>877099636</v>
      </c>
      <c r="CK44" s="759">
        <f t="shared" si="49"/>
        <v>877099636</v>
      </c>
      <c r="CL44" s="759">
        <f t="shared" si="49"/>
        <v>877099636</v>
      </c>
      <c r="CM44" s="642">
        <f t="shared" si="0"/>
        <v>877099636</v>
      </c>
      <c r="CN44" s="245"/>
      <c r="CO44" s="245"/>
      <c r="CP44" s="245"/>
      <c r="CQ44" s="245"/>
      <c r="CR44" s="245"/>
      <c r="CS44" s="245"/>
      <c r="CT44" s="245"/>
      <c r="CU44" s="245"/>
      <c r="CV44" s="245"/>
      <c r="CW44" s="245"/>
      <c r="CX44" s="245"/>
      <c r="CY44" s="245"/>
      <c r="CZ44" s="245"/>
      <c r="DA44" s="245"/>
      <c r="DB44" s="245"/>
      <c r="DC44" s="245"/>
      <c r="DD44" s="245"/>
      <c r="DE44" s="245"/>
      <c r="DF44" s="245"/>
      <c r="DG44" s="245"/>
      <c r="DH44" s="245"/>
      <c r="DI44" s="245"/>
      <c r="DJ44" s="245"/>
      <c r="DK44" s="245"/>
      <c r="DL44" s="245"/>
      <c r="DM44" s="245"/>
      <c r="DN44" s="245"/>
      <c r="DO44" s="245"/>
      <c r="DP44" s="245"/>
      <c r="DQ44" s="245"/>
      <c r="DR44" s="245"/>
      <c r="DS44" s="245"/>
      <c r="DT44" s="245"/>
      <c r="DU44" s="245"/>
      <c r="DV44" s="245"/>
      <c r="DW44" s="245"/>
      <c r="DX44" s="245"/>
      <c r="DY44" s="245"/>
      <c r="DZ44" s="245"/>
      <c r="EA44" s="245"/>
      <c r="EB44" s="245"/>
      <c r="EC44" s="245"/>
      <c r="ED44" s="245"/>
      <c r="EE44" s="245"/>
      <c r="EF44" s="245"/>
      <c r="EG44" s="245"/>
      <c r="EH44" s="245"/>
      <c r="EI44" s="245"/>
      <c r="EJ44" s="245"/>
      <c r="EK44" s="245"/>
      <c r="EL44" s="245"/>
      <c r="EM44" s="245"/>
      <c r="EN44" s="245"/>
      <c r="EO44" s="245"/>
      <c r="EP44" s="245"/>
      <c r="EQ44" s="245"/>
      <c r="ER44" s="245"/>
      <c r="ES44" s="245"/>
      <c r="ET44" s="245"/>
      <c r="EU44" s="245"/>
      <c r="EV44" s="245"/>
      <c r="EW44" s="245"/>
      <c r="EX44" s="245"/>
      <c r="EY44" s="245"/>
      <c r="EZ44" s="245"/>
      <c r="FA44" s="245"/>
      <c r="FB44" s="245"/>
      <c r="FC44" s="245"/>
      <c r="FD44" s="245"/>
      <c r="FE44" s="245"/>
      <c r="FF44" s="245"/>
      <c r="FG44" s="245"/>
      <c r="FH44" s="245"/>
      <c r="FI44" s="245"/>
      <c r="FJ44" s="245"/>
      <c r="FK44" s="245"/>
      <c r="FL44" s="245"/>
      <c r="FM44" s="245"/>
      <c r="FN44" s="245"/>
      <c r="FO44" s="245"/>
      <c r="FP44" s="245"/>
      <c r="FQ44" s="245"/>
      <c r="FR44" s="245"/>
      <c r="FS44" s="245"/>
      <c r="FT44" s="245"/>
      <c r="FU44" s="245"/>
      <c r="FV44" s="245"/>
    </row>
    <row r="45" spans="1:179" s="314" customFormat="1" ht="20.25" customHeight="1">
      <c r="A45" s="760" t="s">
        <v>240</v>
      </c>
      <c r="B45" s="761" t="s">
        <v>307</v>
      </c>
      <c r="C45" s="760" t="s">
        <v>326</v>
      </c>
      <c r="D45" s="760"/>
      <c r="E45" s="762">
        <v>3131</v>
      </c>
      <c r="F45" s="650" t="s">
        <v>329</v>
      </c>
      <c r="G45" s="763">
        <f t="shared" ref="G45:AS45" si="50">3131*G16</f>
        <v>346567259</v>
      </c>
      <c r="H45" s="763">
        <f t="shared" si="50"/>
        <v>346567259</v>
      </c>
      <c r="I45" s="763">
        <f t="shared" si="50"/>
        <v>346567259</v>
      </c>
      <c r="J45" s="763">
        <f t="shared" si="50"/>
        <v>346567259</v>
      </c>
      <c r="K45" s="763">
        <f t="shared" si="50"/>
        <v>346567259</v>
      </c>
      <c r="L45" s="763">
        <f t="shared" si="50"/>
        <v>346567259</v>
      </c>
      <c r="M45" s="763">
        <f t="shared" si="50"/>
        <v>346567259</v>
      </c>
      <c r="N45" s="763">
        <f t="shared" si="50"/>
        <v>346567259</v>
      </c>
      <c r="O45" s="763">
        <f t="shared" si="50"/>
        <v>346567259</v>
      </c>
      <c r="P45" s="763">
        <f t="shared" si="50"/>
        <v>346567259</v>
      </c>
      <c r="Q45" s="763">
        <f t="shared" si="50"/>
        <v>346567259</v>
      </c>
      <c r="R45" s="763">
        <f t="shared" si="50"/>
        <v>346567259</v>
      </c>
      <c r="S45" s="763">
        <f t="shared" si="50"/>
        <v>346567259</v>
      </c>
      <c r="T45" s="763">
        <f t="shared" si="50"/>
        <v>346567259</v>
      </c>
      <c r="U45" s="763">
        <f t="shared" si="50"/>
        <v>346567259</v>
      </c>
      <c r="V45" s="763">
        <f t="shared" si="50"/>
        <v>346567259</v>
      </c>
      <c r="W45" s="763">
        <f t="shared" si="50"/>
        <v>346567259</v>
      </c>
      <c r="X45" s="763">
        <f t="shared" si="50"/>
        <v>346567259</v>
      </c>
      <c r="Y45" s="763">
        <f t="shared" si="50"/>
        <v>346567259</v>
      </c>
      <c r="Z45" s="763">
        <f t="shared" si="50"/>
        <v>346567259</v>
      </c>
      <c r="AA45" s="763">
        <f t="shared" si="50"/>
        <v>346567259</v>
      </c>
      <c r="AB45" s="763">
        <f t="shared" si="50"/>
        <v>346567259</v>
      </c>
      <c r="AC45" s="763">
        <f t="shared" si="50"/>
        <v>346567259</v>
      </c>
      <c r="AD45" s="763">
        <f t="shared" si="50"/>
        <v>346567259</v>
      </c>
      <c r="AE45" s="763">
        <f t="shared" si="50"/>
        <v>346567259</v>
      </c>
      <c r="AF45" s="763">
        <f t="shared" si="50"/>
        <v>346567259</v>
      </c>
      <c r="AG45" s="763">
        <f t="shared" si="50"/>
        <v>346567259</v>
      </c>
      <c r="AH45" s="763">
        <f t="shared" si="50"/>
        <v>346567259</v>
      </c>
      <c r="AI45" s="763">
        <f t="shared" si="50"/>
        <v>346567259</v>
      </c>
      <c r="AJ45" s="763">
        <f t="shared" si="50"/>
        <v>346567259</v>
      </c>
      <c r="AK45" s="763">
        <f t="shared" si="50"/>
        <v>346567259</v>
      </c>
      <c r="AL45" s="763">
        <f t="shared" si="50"/>
        <v>346567259</v>
      </c>
      <c r="AM45" s="763">
        <f t="shared" si="50"/>
        <v>346567259</v>
      </c>
      <c r="AN45" s="763">
        <f t="shared" si="50"/>
        <v>346567259</v>
      </c>
      <c r="AO45" s="763">
        <f t="shared" si="50"/>
        <v>346567259</v>
      </c>
      <c r="AP45" s="763">
        <f t="shared" si="50"/>
        <v>346567259</v>
      </c>
      <c r="AQ45" s="763">
        <f t="shared" si="50"/>
        <v>346567259</v>
      </c>
      <c r="AR45" s="763">
        <f t="shared" si="50"/>
        <v>346567259</v>
      </c>
      <c r="AS45" s="763">
        <f t="shared" si="50"/>
        <v>346567259</v>
      </c>
      <c r="AT45" s="763">
        <f>3131*AT16</f>
        <v>346567259</v>
      </c>
      <c r="AU45" s="764">
        <f t="shared" ref="AU45:CL45" si="51">3131*AU16</f>
        <v>346567259</v>
      </c>
      <c r="AV45" s="764">
        <f t="shared" si="51"/>
        <v>346567259</v>
      </c>
      <c r="AW45" s="764">
        <f t="shared" si="51"/>
        <v>346567259</v>
      </c>
      <c r="AX45" s="764">
        <f t="shared" si="51"/>
        <v>346567259</v>
      </c>
      <c r="AY45" s="764">
        <f t="shared" si="51"/>
        <v>346567259</v>
      </c>
      <c r="AZ45" s="764">
        <f t="shared" si="51"/>
        <v>346567259</v>
      </c>
      <c r="BA45" s="764">
        <f t="shared" si="51"/>
        <v>346567259</v>
      </c>
      <c r="BB45" s="764">
        <f t="shared" si="51"/>
        <v>346567259</v>
      </c>
      <c r="BC45" s="764">
        <f t="shared" si="51"/>
        <v>346567259</v>
      </c>
      <c r="BD45" s="764">
        <f t="shared" si="51"/>
        <v>346567259</v>
      </c>
      <c r="BE45" s="764">
        <f t="shared" si="51"/>
        <v>346567259</v>
      </c>
      <c r="BF45" s="764">
        <f t="shared" si="51"/>
        <v>346567259</v>
      </c>
      <c r="BG45" s="764">
        <f t="shared" si="51"/>
        <v>346567259</v>
      </c>
      <c r="BH45" s="764">
        <f t="shared" si="51"/>
        <v>346567259</v>
      </c>
      <c r="BI45" s="764">
        <f t="shared" si="51"/>
        <v>346567259</v>
      </c>
      <c r="BJ45" s="764">
        <f t="shared" si="51"/>
        <v>346567259</v>
      </c>
      <c r="BK45" s="764">
        <f t="shared" si="51"/>
        <v>346567259</v>
      </c>
      <c r="BL45" s="764">
        <f t="shared" si="51"/>
        <v>346567259</v>
      </c>
      <c r="BM45" s="764">
        <f t="shared" si="51"/>
        <v>346567259</v>
      </c>
      <c r="BN45" s="764">
        <f t="shared" si="51"/>
        <v>346567259</v>
      </c>
      <c r="BO45" s="764">
        <f t="shared" si="51"/>
        <v>346567259</v>
      </c>
      <c r="BP45" s="764">
        <f t="shared" si="51"/>
        <v>346567259</v>
      </c>
      <c r="BQ45" s="764">
        <f t="shared" si="51"/>
        <v>346567259</v>
      </c>
      <c r="BR45" s="764">
        <f t="shared" si="51"/>
        <v>346567259</v>
      </c>
      <c r="BS45" s="764">
        <f t="shared" si="51"/>
        <v>346567259</v>
      </c>
      <c r="BT45" s="764">
        <f t="shared" si="51"/>
        <v>346567259</v>
      </c>
      <c r="BU45" s="764">
        <f t="shared" si="51"/>
        <v>346567259</v>
      </c>
      <c r="BV45" s="764">
        <f t="shared" si="51"/>
        <v>346567259</v>
      </c>
      <c r="BW45" s="764">
        <f t="shared" si="51"/>
        <v>346567259</v>
      </c>
      <c r="BX45" s="764">
        <f t="shared" si="51"/>
        <v>346567259</v>
      </c>
      <c r="BY45" s="764">
        <f t="shared" si="51"/>
        <v>346567259</v>
      </c>
      <c r="BZ45" s="764">
        <f t="shared" si="51"/>
        <v>346567259</v>
      </c>
      <c r="CA45" s="764">
        <f t="shared" si="51"/>
        <v>346567259</v>
      </c>
      <c r="CB45" s="764">
        <f t="shared" si="51"/>
        <v>346567259</v>
      </c>
      <c r="CC45" s="764">
        <f t="shared" si="51"/>
        <v>346567259</v>
      </c>
      <c r="CD45" s="764">
        <f t="shared" si="51"/>
        <v>346567259</v>
      </c>
      <c r="CE45" s="764">
        <f t="shared" si="51"/>
        <v>346567259</v>
      </c>
      <c r="CF45" s="764">
        <f t="shared" si="51"/>
        <v>346567259</v>
      </c>
      <c r="CG45" s="764">
        <f t="shared" si="51"/>
        <v>346567259</v>
      </c>
      <c r="CH45" s="764">
        <f t="shared" si="51"/>
        <v>346567259</v>
      </c>
      <c r="CI45" s="764">
        <f t="shared" si="51"/>
        <v>346567259</v>
      </c>
      <c r="CJ45" s="764">
        <f t="shared" si="51"/>
        <v>346567259</v>
      </c>
      <c r="CK45" s="764">
        <f t="shared" si="51"/>
        <v>346567259</v>
      </c>
      <c r="CL45" s="764">
        <f t="shared" si="51"/>
        <v>346567259</v>
      </c>
      <c r="CM45" s="642">
        <f t="shared" si="0"/>
        <v>346567259</v>
      </c>
      <c r="CN45" s="765"/>
      <c r="CO45" s="765"/>
      <c r="CP45" s="765"/>
      <c r="CQ45" s="765"/>
      <c r="CR45" s="765"/>
      <c r="CS45" s="765"/>
      <c r="CT45" s="765"/>
      <c r="CU45" s="765"/>
      <c r="CV45" s="765"/>
      <c r="CW45" s="765"/>
      <c r="CX45" s="765"/>
      <c r="CY45" s="765"/>
      <c r="CZ45" s="765"/>
      <c r="DA45" s="765"/>
      <c r="DB45" s="765"/>
      <c r="DC45" s="765"/>
      <c r="DD45" s="765"/>
      <c r="DE45" s="765"/>
      <c r="DF45" s="765"/>
      <c r="DG45" s="765"/>
      <c r="DH45" s="765"/>
      <c r="DI45" s="765"/>
      <c r="DJ45" s="765"/>
      <c r="DK45" s="765"/>
      <c r="DL45" s="765"/>
      <c r="DM45" s="765"/>
      <c r="DN45" s="765"/>
      <c r="DO45" s="765"/>
      <c r="DP45" s="765"/>
      <c r="DQ45" s="765"/>
      <c r="DR45" s="765"/>
      <c r="DS45" s="765"/>
      <c r="DT45" s="765"/>
      <c r="DU45" s="765"/>
      <c r="DV45" s="765"/>
      <c r="DW45" s="765"/>
      <c r="DX45" s="765"/>
      <c r="DY45" s="765"/>
      <c r="DZ45" s="765"/>
      <c r="EA45" s="765"/>
      <c r="EB45" s="765"/>
      <c r="EC45" s="765"/>
      <c r="ED45" s="765"/>
      <c r="EE45" s="765"/>
      <c r="EF45" s="765"/>
      <c r="EG45" s="765"/>
      <c r="EH45" s="765"/>
      <c r="EI45" s="765"/>
      <c r="EJ45" s="765"/>
      <c r="EK45" s="765"/>
      <c r="EL45" s="765"/>
      <c r="EM45" s="765"/>
      <c r="EN45" s="765"/>
      <c r="EO45" s="765"/>
      <c r="EP45" s="765"/>
      <c r="EQ45" s="765"/>
      <c r="ER45" s="765"/>
      <c r="ES45" s="765"/>
      <c r="ET45" s="765"/>
      <c r="EU45" s="765"/>
      <c r="EV45" s="765"/>
      <c r="EW45" s="765"/>
      <c r="EX45" s="765"/>
      <c r="EY45" s="765"/>
      <c r="EZ45" s="765"/>
      <c r="FA45" s="765"/>
      <c r="FB45" s="765"/>
      <c r="FC45" s="765"/>
      <c r="FD45" s="765"/>
      <c r="FE45" s="765"/>
      <c r="FF45" s="765"/>
      <c r="FG45" s="765"/>
      <c r="FH45" s="765"/>
      <c r="FI45" s="765"/>
      <c r="FJ45" s="765"/>
      <c r="FK45" s="765"/>
      <c r="FL45" s="765"/>
      <c r="FM45" s="765"/>
      <c r="FN45" s="765"/>
      <c r="FO45" s="765"/>
      <c r="FP45" s="765"/>
      <c r="FQ45" s="765"/>
      <c r="FR45" s="765"/>
      <c r="FS45" s="765"/>
      <c r="FT45" s="765"/>
      <c r="FU45" s="765"/>
      <c r="FV45" s="765"/>
    </row>
    <row r="46" spans="1:179" s="314" customFormat="1">
      <c r="A46" s="766" t="s">
        <v>332</v>
      </c>
      <c r="B46" s="767" t="s">
        <v>312</v>
      </c>
      <c r="C46" s="766" t="s">
        <v>326</v>
      </c>
      <c r="D46" s="766"/>
      <c r="E46" s="768"/>
      <c r="F46" s="657" t="s">
        <v>149</v>
      </c>
      <c r="G46" s="769">
        <f t="shared" ref="G46:BR47" si="52">G12*G2</f>
        <v>1289733333.3333333</v>
      </c>
      <c r="H46" s="769">
        <f t="shared" si="52"/>
        <v>1256541666.6666665</v>
      </c>
      <c r="I46" s="769">
        <f t="shared" si="52"/>
        <v>1047908333.3333333</v>
      </c>
      <c r="J46" s="769">
        <f t="shared" si="52"/>
        <v>986266666.66666663</v>
      </c>
      <c r="K46" s="769">
        <f t="shared" si="52"/>
        <v>1000491666.6666666</v>
      </c>
      <c r="L46" s="769">
        <f t="shared" si="52"/>
        <v>1031312500</v>
      </c>
      <c r="M46" s="769">
        <f t="shared" si="52"/>
        <v>1009975000</v>
      </c>
      <c r="N46" s="769">
        <f t="shared" si="52"/>
        <v>995275833.33333325</v>
      </c>
      <c r="O46" s="769">
        <f t="shared" si="52"/>
        <v>979154166.66666663</v>
      </c>
      <c r="P46" s="769">
        <f t="shared" si="52"/>
        <v>963980833.33333325</v>
      </c>
      <c r="Q46" s="769">
        <f t="shared" si="52"/>
        <v>953075000</v>
      </c>
      <c r="R46" s="769">
        <f t="shared" si="52"/>
        <v>922254166.66666663</v>
      </c>
      <c r="S46" s="769">
        <f t="shared" si="52"/>
        <v>965403333.33333325</v>
      </c>
      <c r="T46" s="769">
        <f t="shared" si="52"/>
        <v>941078583.33333325</v>
      </c>
      <c r="U46" s="769">
        <f t="shared" si="52"/>
        <v>903619416.66666663</v>
      </c>
      <c r="V46" s="769">
        <f t="shared" si="52"/>
        <v>1046201333.3333333</v>
      </c>
      <c r="W46" s="769">
        <f t="shared" si="52"/>
        <v>1002862500</v>
      </c>
      <c r="X46" s="769">
        <f t="shared" si="52"/>
        <v>893235166.66666663</v>
      </c>
      <c r="Y46" s="769">
        <f t="shared" si="52"/>
        <v>572651083.33333325</v>
      </c>
      <c r="Z46" s="769">
        <f t="shared" si="52"/>
        <v>659281333.33333325</v>
      </c>
      <c r="AA46" s="769">
        <f t="shared" si="52"/>
        <v>627132833.33333325</v>
      </c>
      <c r="AB46" s="769">
        <f t="shared" si="52"/>
        <v>627369916.66666663</v>
      </c>
      <c r="AC46" s="769">
        <f t="shared" si="52"/>
        <v>707551500</v>
      </c>
      <c r="AD46" s="769">
        <f t="shared" si="52"/>
        <v>668954333.33333325</v>
      </c>
      <c r="AE46" s="769">
        <f t="shared" si="52"/>
        <v>523669666.66666663</v>
      </c>
      <c r="AF46" s="769">
        <f t="shared" si="52"/>
        <v>724099916.66666663</v>
      </c>
      <c r="AG46" s="769">
        <f t="shared" si="52"/>
        <v>721254916.66666663</v>
      </c>
      <c r="AH46" s="769">
        <f t="shared" si="52"/>
        <v>853215500</v>
      </c>
      <c r="AI46" s="769">
        <f t="shared" si="52"/>
        <v>917702166.66666663</v>
      </c>
      <c r="AJ46" s="769">
        <f t="shared" si="52"/>
        <v>1115334833.3333333</v>
      </c>
      <c r="AK46" s="769">
        <f t="shared" si="52"/>
        <v>1140133750</v>
      </c>
      <c r="AL46" s="769">
        <f t="shared" si="52"/>
        <v>965498166.66666663</v>
      </c>
      <c r="AM46" s="769">
        <f t="shared" si="52"/>
        <v>922680916.66666663</v>
      </c>
      <c r="AN46" s="769">
        <f t="shared" si="52"/>
        <v>967916416.66666663</v>
      </c>
      <c r="AO46" s="769">
        <f t="shared" si="52"/>
        <v>721966166.66666663</v>
      </c>
      <c r="AP46" s="769">
        <f t="shared" si="52"/>
        <v>800251083.33333325</v>
      </c>
      <c r="AQ46" s="769">
        <f t="shared" si="52"/>
        <v>1367212166.6666665</v>
      </c>
      <c r="AR46" s="769">
        <f t="shared" si="52"/>
        <v>1378687000</v>
      </c>
      <c r="AS46" s="769">
        <f t="shared" si="52"/>
        <v>1419512750</v>
      </c>
      <c r="AT46" s="769">
        <f t="shared" si="52"/>
        <v>1374842683.1765764</v>
      </c>
      <c r="AU46" s="655">
        <f t="shared" si="52"/>
        <v>1379044424.8593802</v>
      </c>
      <c r="AV46" s="655">
        <f t="shared" si="52"/>
        <v>1629545101.6848261</v>
      </c>
      <c r="AW46" s="655">
        <f t="shared" si="52"/>
        <v>1591343199.6509717</v>
      </c>
      <c r="AX46" s="655">
        <f t="shared" si="52"/>
        <v>1243212871.1445205</v>
      </c>
      <c r="AY46" s="655">
        <f t="shared" si="52"/>
        <v>1706780703.8413458</v>
      </c>
      <c r="AZ46" s="655">
        <f t="shared" si="52"/>
        <v>1916921551.603076</v>
      </c>
      <c r="BA46" s="655">
        <f t="shared" si="52"/>
        <v>1982133835.2812154</v>
      </c>
      <c r="BB46" s="655">
        <f t="shared" si="52"/>
        <v>1996887211.4071765</v>
      </c>
      <c r="BC46" s="655">
        <f t="shared" si="52"/>
        <v>1232654706.7663169</v>
      </c>
      <c r="BD46" s="655">
        <f t="shared" si="52"/>
        <v>1101639688.4588211</v>
      </c>
      <c r="BE46" s="655">
        <f t="shared" si="52"/>
        <v>1103036750.3994024</v>
      </c>
      <c r="BF46" s="655">
        <f t="shared" si="52"/>
        <v>1133624827.7955134</v>
      </c>
      <c r="BG46" s="655">
        <f t="shared" si="52"/>
        <v>1105660091.3748419</v>
      </c>
      <c r="BH46" s="655">
        <f t="shared" si="52"/>
        <v>1108749549.0588937</v>
      </c>
      <c r="BI46" s="655">
        <f t="shared" si="52"/>
        <v>1168879925.4696844</v>
      </c>
      <c r="BJ46" s="655">
        <f t="shared" si="52"/>
        <v>1164454971.5775049</v>
      </c>
      <c r="BK46" s="655">
        <f t="shared" si="52"/>
        <v>1177331392.8450325</v>
      </c>
      <c r="BL46" s="655">
        <f t="shared" si="52"/>
        <v>1188044985.1696365</v>
      </c>
      <c r="BM46" s="655">
        <f t="shared" si="52"/>
        <v>1222810873.0892406</v>
      </c>
      <c r="BN46" s="655">
        <f t="shared" si="52"/>
        <v>1168499850.3927243</v>
      </c>
      <c r="BO46" s="655">
        <f t="shared" si="52"/>
        <v>1088339449.3449023</v>
      </c>
      <c r="BP46" s="655">
        <f t="shared" si="52"/>
        <v>1088112395.8850474</v>
      </c>
      <c r="BQ46" s="655">
        <f t="shared" si="52"/>
        <v>1105625963.2955706</v>
      </c>
      <c r="BR46" s="655">
        <f t="shared" si="52"/>
        <v>1132811286.9414909</v>
      </c>
      <c r="BS46" s="655">
        <f t="shared" ref="BS46:CL47" si="53">BS12*BS2</f>
        <v>1148839941.8063359</v>
      </c>
      <c r="BT46" s="655">
        <f t="shared" si="53"/>
        <v>1116282134.4984467</v>
      </c>
      <c r="BU46" s="655">
        <f t="shared" si="53"/>
        <v>978895361.24333608</v>
      </c>
      <c r="BV46" s="655">
        <f t="shared" si="53"/>
        <v>990548597.24474275</v>
      </c>
      <c r="BW46" s="655">
        <f t="shared" si="53"/>
        <v>1013509133.062564</v>
      </c>
      <c r="BX46" s="655">
        <f t="shared" si="53"/>
        <v>987395917.93822384</v>
      </c>
      <c r="BY46" s="655">
        <f t="shared" si="53"/>
        <v>1008198330.3513852</v>
      </c>
      <c r="BZ46" s="655">
        <f t="shared" si="53"/>
        <v>1043128116.021217</v>
      </c>
      <c r="CA46" s="655">
        <f t="shared" si="53"/>
        <v>904291967.76679444</v>
      </c>
      <c r="CB46" s="655">
        <f t="shared" si="53"/>
        <v>873254395.40173697</v>
      </c>
      <c r="CC46" s="655">
        <f t="shared" si="53"/>
        <v>930854878.91728938</v>
      </c>
      <c r="CD46" s="655">
        <f t="shared" si="53"/>
        <v>894379207.42279291</v>
      </c>
      <c r="CE46" s="655">
        <f t="shared" si="53"/>
        <v>920715269.12800527</v>
      </c>
      <c r="CF46" s="655">
        <f t="shared" si="53"/>
        <v>928099598.19715178</v>
      </c>
      <c r="CG46" s="655">
        <f t="shared" si="53"/>
        <v>909517201.98925984</v>
      </c>
      <c r="CH46" s="655">
        <f t="shared" si="53"/>
        <v>921716532.0942986</v>
      </c>
      <c r="CI46" s="655">
        <f t="shared" si="53"/>
        <v>917498708.39722025</v>
      </c>
      <c r="CJ46" s="655">
        <f t="shared" si="53"/>
        <v>928703705.40429604</v>
      </c>
      <c r="CK46" s="655">
        <f t="shared" si="53"/>
        <v>894862272.14478111</v>
      </c>
      <c r="CL46" s="655">
        <f t="shared" si="53"/>
        <v>898527536.87796319</v>
      </c>
      <c r="CM46" s="642">
        <f t="shared" si="0"/>
        <v>1058460154.9177164</v>
      </c>
      <c r="CN46" s="765"/>
      <c r="CO46" s="765"/>
      <c r="CP46" s="765"/>
      <c r="CQ46" s="765"/>
      <c r="CR46" s="765"/>
      <c r="CS46" s="765"/>
      <c r="CT46" s="765"/>
      <c r="CU46" s="765"/>
      <c r="CV46" s="765"/>
      <c r="CW46" s="765"/>
      <c r="CX46" s="765"/>
      <c r="CY46" s="765"/>
      <c r="CZ46" s="765"/>
      <c r="DA46" s="765"/>
      <c r="DB46" s="765"/>
      <c r="DC46" s="765"/>
      <c r="DD46" s="765"/>
      <c r="DE46" s="765"/>
      <c r="DF46" s="765"/>
      <c r="DG46" s="765"/>
      <c r="DH46" s="765"/>
      <c r="DI46" s="765"/>
      <c r="DJ46" s="765"/>
      <c r="DK46" s="765"/>
      <c r="DL46" s="765"/>
      <c r="DM46" s="765"/>
      <c r="DN46" s="765"/>
      <c r="DO46" s="765"/>
      <c r="DP46" s="765"/>
      <c r="DQ46" s="765"/>
      <c r="DR46" s="765"/>
      <c r="DS46" s="765"/>
      <c r="DT46" s="765"/>
      <c r="DU46" s="765"/>
      <c r="DV46" s="765"/>
      <c r="DW46" s="765"/>
      <c r="DX46" s="765"/>
      <c r="DY46" s="765"/>
      <c r="DZ46" s="765"/>
      <c r="EA46" s="765"/>
      <c r="EB46" s="765"/>
      <c r="EC46" s="765"/>
      <c r="ED46" s="765"/>
      <c r="EE46" s="765"/>
      <c r="EF46" s="765"/>
      <c r="EG46" s="765"/>
      <c r="EH46" s="765"/>
      <c r="EI46" s="765"/>
      <c r="EJ46" s="765"/>
      <c r="EK46" s="765"/>
      <c r="EL46" s="765"/>
      <c r="EM46" s="765"/>
      <c r="EN46" s="765"/>
      <c r="EO46" s="765"/>
      <c r="EP46" s="765"/>
      <c r="EQ46" s="765"/>
      <c r="ER46" s="765"/>
      <c r="ES46" s="765"/>
      <c r="ET46" s="765"/>
      <c r="EU46" s="765"/>
      <c r="EV46" s="765"/>
      <c r="EW46" s="765"/>
      <c r="EX46" s="765"/>
      <c r="EY46" s="765"/>
      <c r="EZ46" s="765"/>
      <c r="FA46" s="765"/>
      <c r="FB46" s="765"/>
      <c r="FC46" s="765"/>
      <c r="FD46" s="765"/>
      <c r="FE46" s="765"/>
      <c r="FF46" s="765"/>
      <c r="FG46" s="765"/>
      <c r="FH46" s="765"/>
      <c r="FI46" s="765"/>
      <c r="FJ46" s="765"/>
      <c r="FK46" s="765"/>
      <c r="FL46" s="765"/>
      <c r="FM46" s="765"/>
      <c r="FN46" s="765"/>
      <c r="FO46" s="765"/>
      <c r="FP46" s="765"/>
      <c r="FQ46" s="765"/>
      <c r="FR46" s="765"/>
      <c r="FS46" s="765"/>
      <c r="FT46" s="765"/>
      <c r="FU46" s="765"/>
      <c r="FV46" s="765"/>
    </row>
    <row r="47" spans="1:179" s="314" customFormat="1">
      <c r="A47" s="766" t="s">
        <v>332</v>
      </c>
      <c r="B47" s="767" t="s">
        <v>312</v>
      </c>
      <c r="C47" s="766" t="s">
        <v>326</v>
      </c>
      <c r="D47" s="766"/>
      <c r="E47" s="768"/>
      <c r="F47" s="657" t="s">
        <v>0</v>
      </c>
      <c r="G47" s="769">
        <f t="shared" si="52"/>
        <v>2332045833.3333335</v>
      </c>
      <c r="H47" s="769">
        <f t="shared" si="52"/>
        <v>2282675000</v>
      </c>
      <c r="I47" s="769">
        <f t="shared" si="52"/>
        <v>2003875000</v>
      </c>
      <c r="J47" s="769">
        <f t="shared" si="52"/>
        <v>1930690000</v>
      </c>
      <c r="K47" s="769">
        <f t="shared" si="52"/>
        <v>1902229166.6666667</v>
      </c>
      <c r="L47" s="769">
        <f t="shared" si="52"/>
        <v>1922558333.3333335</v>
      </c>
      <c r="M47" s="769">
        <f t="shared" si="52"/>
        <v>1896420833.3333335</v>
      </c>
      <c r="N47" s="769">
        <f t="shared" si="52"/>
        <v>1876091666.6666667</v>
      </c>
      <c r="O47" s="769">
        <f t="shared" si="52"/>
        <v>1748308333.3333335</v>
      </c>
      <c r="P47" s="769">
        <f t="shared" si="52"/>
        <v>1719266666.6666667</v>
      </c>
      <c r="Q47" s="769">
        <f t="shared" si="52"/>
        <v>1701841666.6666667</v>
      </c>
      <c r="R47" s="769">
        <f t="shared" si="52"/>
        <v>1637950000</v>
      </c>
      <c r="S47" s="769">
        <f t="shared" si="52"/>
        <v>1691967500</v>
      </c>
      <c r="T47" s="769">
        <f t="shared" si="52"/>
        <v>1625171666.6666667</v>
      </c>
      <c r="U47" s="769">
        <f t="shared" si="52"/>
        <v>1652470833.3333335</v>
      </c>
      <c r="V47" s="769">
        <f t="shared" si="52"/>
        <v>1855181666.6666667</v>
      </c>
      <c r="W47" s="769">
        <f t="shared" si="52"/>
        <v>1879576666.6666667</v>
      </c>
      <c r="X47" s="769">
        <f t="shared" si="52"/>
        <v>1585675000</v>
      </c>
      <c r="Y47" s="769">
        <f t="shared" si="52"/>
        <v>1360892500</v>
      </c>
      <c r="Z47" s="769">
        <f t="shared" si="52"/>
        <v>1428850000</v>
      </c>
      <c r="AA47" s="769">
        <f t="shared" si="52"/>
        <v>1399808333.3333335</v>
      </c>
      <c r="AB47" s="769">
        <f t="shared" si="52"/>
        <v>1446275000</v>
      </c>
      <c r="AC47" s="769">
        <f t="shared" si="52"/>
        <v>1346371666.6666667</v>
      </c>
      <c r="AD47" s="769">
        <f t="shared" si="52"/>
        <v>1321395833.3333335</v>
      </c>
      <c r="AE47" s="769">
        <f t="shared" si="52"/>
        <v>1240079166.6666667</v>
      </c>
      <c r="AF47" s="769">
        <f t="shared" si="52"/>
        <v>1395161666.6666667</v>
      </c>
      <c r="AG47" s="769">
        <f t="shared" si="52"/>
        <v>1572315833.3333335</v>
      </c>
      <c r="AH47" s="769">
        <f t="shared" si="52"/>
        <v>1655375000</v>
      </c>
      <c r="AI47" s="769">
        <f t="shared" si="52"/>
        <v>1779673333.3333335</v>
      </c>
      <c r="AJ47" s="769">
        <f t="shared" si="52"/>
        <v>1945210833.3333335</v>
      </c>
      <c r="AK47" s="769">
        <f t="shared" si="52"/>
        <v>2026527500</v>
      </c>
      <c r="AL47" s="769">
        <f t="shared" si="52"/>
        <v>1874349166.6666667</v>
      </c>
      <c r="AM47" s="769">
        <f t="shared" si="52"/>
        <v>1722170833.3333335</v>
      </c>
      <c r="AN47" s="769">
        <f t="shared" si="52"/>
        <v>1647243333.3333335</v>
      </c>
      <c r="AO47" s="769">
        <f t="shared" si="52"/>
        <v>1497388333.3333335</v>
      </c>
      <c r="AP47" s="769">
        <f t="shared" si="52"/>
        <v>1672219166.6666667</v>
      </c>
      <c r="AQ47" s="769">
        <f t="shared" si="52"/>
        <v>2192065000</v>
      </c>
      <c r="AR47" s="769">
        <f t="shared" si="52"/>
        <v>2260022500</v>
      </c>
      <c r="AS47" s="769">
        <f t="shared" si="52"/>
        <v>2276866666.666667</v>
      </c>
      <c r="AT47" s="769">
        <f t="shared" si="52"/>
        <v>2280801217.8152146</v>
      </c>
      <c r="AU47" s="655">
        <f t="shared" si="52"/>
        <v>2051561001.1108587</v>
      </c>
      <c r="AV47" s="655">
        <f t="shared" si="52"/>
        <v>1895993546.8846843</v>
      </c>
      <c r="AW47" s="655">
        <f t="shared" si="52"/>
        <v>1893035379.8695486</v>
      </c>
      <c r="AX47" s="655">
        <f t="shared" si="52"/>
        <v>2051634039.869015</v>
      </c>
      <c r="AY47" s="655">
        <f t="shared" si="52"/>
        <v>2306138870.2628679</v>
      </c>
      <c r="AZ47" s="655">
        <f t="shared" si="52"/>
        <v>2315972977.7881145</v>
      </c>
      <c r="BA47" s="655">
        <f t="shared" si="52"/>
        <v>2450352193.8072844</v>
      </c>
      <c r="BB47" s="655">
        <f t="shared" si="52"/>
        <v>2634293642.1204391</v>
      </c>
      <c r="BC47" s="655">
        <f t="shared" si="52"/>
        <v>2928652492.1208496</v>
      </c>
      <c r="BD47" s="655">
        <f t="shared" si="52"/>
        <v>2357217910.0577374</v>
      </c>
      <c r="BE47" s="655">
        <f t="shared" si="52"/>
        <v>1913739577.4511683</v>
      </c>
      <c r="BF47" s="655">
        <f t="shared" si="52"/>
        <v>1848864743.9504259</v>
      </c>
      <c r="BG47" s="655">
        <f t="shared" si="52"/>
        <v>1903717603.7850983</v>
      </c>
      <c r="BH47" s="655">
        <f t="shared" si="52"/>
        <v>2067942450.4452426</v>
      </c>
      <c r="BI47" s="655">
        <f t="shared" si="52"/>
        <v>2173091870.1391225</v>
      </c>
      <c r="BJ47" s="655">
        <f t="shared" si="52"/>
        <v>2225371810.2978559</v>
      </c>
      <c r="BK47" s="655">
        <f t="shared" si="52"/>
        <v>1813899239.7433743</v>
      </c>
      <c r="BL47" s="655">
        <f t="shared" si="52"/>
        <v>1567541019.8801632</v>
      </c>
      <c r="BM47" s="655">
        <f t="shared" si="52"/>
        <v>1597462988.516</v>
      </c>
      <c r="BN47" s="655">
        <f t="shared" si="52"/>
        <v>1517697526.8304498</v>
      </c>
      <c r="BO47" s="655">
        <f t="shared" si="52"/>
        <v>1812440701.5444</v>
      </c>
      <c r="BP47" s="655">
        <f t="shared" si="52"/>
        <v>1866262541.0918665</v>
      </c>
      <c r="BQ47" s="655">
        <f t="shared" si="52"/>
        <v>1903038574.5947883</v>
      </c>
      <c r="BR47" s="655">
        <f t="shared" si="52"/>
        <v>2448033434.4741688</v>
      </c>
      <c r="BS47" s="655">
        <f t="shared" si="53"/>
        <v>2194199046.6185546</v>
      </c>
      <c r="BT47" s="655">
        <f t="shared" si="53"/>
        <v>1939527809.6978757</v>
      </c>
      <c r="BU47" s="655">
        <f t="shared" si="53"/>
        <v>1064857443.6394666</v>
      </c>
      <c r="BV47" s="655">
        <f t="shared" si="53"/>
        <v>1562877291.4860117</v>
      </c>
      <c r="BW47" s="655">
        <f t="shared" si="53"/>
        <v>1610858921.0063634</v>
      </c>
      <c r="BX47" s="655">
        <f t="shared" si="53"/>
        <v>1640177420.5697052</v>
      </c>
      <c r="BY47" s="655">
        <f t="shared" si="53"/>
        <v>1655978230.4587488</v>
      </c>
      <c r="BZ47" s="655">
        <f t="shared" si="53"/>
        <v>1629834439.9843309</v>
      </c>
      <c r="CA47" s="655">
        <f t="shared" si="53"/>
        <v>1673992851.3350604</v>
      </c>
      <c r="CB47" s="655">
        <f t="shared" si="53"/>
        <v>1940238250.574914</v>
      </c>
      <c r="CC47" s="655">
        <f t="shared" si="53"/>
        <v>2012248797.9879448</v>
      </c>
      <c r="CD47" s="655">
        <f t="shared" si="53"/>
        <v>2444081233.6200891</v>
      </c>
      <c r="CE47" s="655">
        <f t="shared" si="53"/>
        <v>2676104945.6031342</v>
      </c>
      <c r="CF47" s="655">
        <f t="shared" si="53"/>
        <v>2766021645.6147633</v>
      </c>
      <c r="CG47" s="655">
        <f t="shared" si="53"/>
        <v>2534763193.1005487</v>
      </c>
      <c r="CH47" s="655">
        <f t="shared" si="53"/>
        <v>2206314714.5208468</v>
      </c>
      <c r="CI47" s="655">
        <f t="shared" si="53"/>
        <v>2370384440.7796741</v>
      </c>
      <c r="CJ47" s="655">
        <f t="shared" si="53"/>
        <v>2804108915.1629715</v>
      </c>
      <c r="CK47" s="655">
        <f t="shared" si="53"/>
        <v>2971381330.4841633</v>
      </c>
      <c r="CL47" s="657">
        <f t="shared" si="53"/>
        <v>2968472221.8033333</v>
      </c>
      <c r="CM47" s="642">
        <f t="shared" si="0"/>
        <v>1938040928.5535626</v>
      </c>
      <c r="CN47" s="765"/>
      <c r="CO47" s="765"/>
      <c r="CP47" s="765"/>
      <c r="CQ47" s="765"/>
      <c r="CR47" s="765"/>
      <c r="CS47" s="765"/>
      <c r="CT47" s="765"/>
      <c r="CU47" s="765"/>
      <c r="CV47" s="765"/>
      <c r="CW47" s="765"/>
      <c r="CX47" s="765"/>
      <c r="CY47" s="765"/>
      <c r="CZ47" s="765"/>
      <c r="DA47" s="765"/>
      <c r="DB47" s="765"/>
      <c r="DC47" s="765"/>
      <c r="DD47" s="765"/>
      <c r="DE47" s="765"/>
      <c r="DF47" s="765"/>
      <c r="DG47" s="765"/>
      <c r="DH47" s="765"/>
      <c r="DI47" s="765"/>
      <c r="DJ47" s="765"/>
      <c r="DK47" s="765"/>
      <c r="DL47" s="765"/>
      <c r="DM47" s="765"/>
      <c r="DN47" s="765"/>
      <c r="DO47" s="765"/>
      <c r="DP47" s="765"/>
      <c r="DQ47" s="765"/>
      <c r="DR47" s="765"/>
      <c r="DS47" s="765"/>
      <c r="DT47" s="765"/>
      <c r="DU47" s="765"/>
      <c r="DV47" s="765"/>
      <c r="DW47" s="765"/>
      <c r="DX47" s="765"/>
      <c r="DY47" s="765"/>
      <c r="DZ47" s="765"/>
      <c r="EA47" s="765"/>
      <c r="EB47" s="765"/>
      <c r="EC47" s="765"/>
      <c r="ED47" s="765"/>
      <c r="EE47" s="765"/>
      <c r="EF47" s="765"/>
      <c r="EG47" s="765"/>
      <c r="EH47" s="765"/>
      <c r="EI47" s="765"/>
      <c r="EJ47" s="765"/>
      <c r="EK47" s="765"/>
      <c r="EL47" s="765"/>
      <c r="EM47" s="765"/>
      <c r="EN47" s="765"/>
      <c r="EO47" s="765"/>
      <c r="EP47" s="765"/>
      <c r="EQ47" s="765"/>
      <c r="ER47" s="765"/>
      <c r="ES47" s="765"/>
      <c r="ET47" s="765"/>
      <c r="EU47" s="765"/>
      <c r="EV47" s="765"/>
      <c r="EW47" s="765"/>
      <c r="EX47" s="765"/>
      <c r="EY47" s="765"/>
      <c r="EZ47" s="765"/>
      <c r="FA47" s="765"/>
      <c r="FB47" s="765"/>
      <c r="FC47" s="765"/>
      <c r="FD47" s="765"/>
      <c r="FE47" s="765"/>
      <c r="FF47" s="765"/>
      <c r="FG47" s="765"/>
      <c r="FH47" s="765"/>
      <c r="FI47" s="765"/>
      <c r="FJ47" s="765"/>
      <c r="FK47" s="765"/>
      <c r="FL47" s="765"/>
      <c r="FM47" s="765"/>
      <c r="FN47" s="765"/>
      <c r="FO47" s="765"/>
      <c r="FP47" s="765"/>
      <c r="FQ47" s="765"/>
      <c r="FR47" s="765"/>
      <c r="FS47" s="765"/>
      <c r="FT47" s="765"/>
      <c r="FU47" s="765"/>
      <c r="FV47" s="765"/>
    </row>
    <row r="48" spans="1:179">
      <c r="A48" s="770" t="s">
        <v>332</v>
      </c>
      <c r="B48" s="771" t="s">
        <v>312</v>
      </c>
      <c r="C48" s="640" t="s">
        <v>326</v>
      </c>
      <c r="D48" s="640"/>
      <c r="E48" s="245"/>
      <c r="F48" s="665" t="s">
        <v>306</v>
      </c>
      <c r="G48" s="772">
        <f t="shared" ref="G48:BR49" si="54">G4*G14</f>
        <v>410266666.66666669</v>
      </c>
      <c r="H48" s="772">
        <f t="shared" si="54"/>
        <v>391000000</v>
      </c>
      <c r="I48" s="772">
        <f t="shared" si="54"/>
        <v>357000000</v>
      </c>
      <c r="J48" s="772">
        <f t="shared" si="54"/>
        <v>342266666.66666669</v>
      </c>
      <c r="K48" s="772">
        <f t="shared" si="54"/>
        <v>338866666.66666669</v>
      </c>
      <c r="L48" s="772">
        <f t="shared" si="54"/>
        <v>346800000</v>
      </c>
      <c r="M48" s="772">
        <f t="shared" si="54"/>
        <v>334333333.33333337</v>
      </c>
      <c r="N48" s="772">
        <f t="shared" si="54"/>
        <v>329800000</v>
      </c>
      <c r="O48" s="772">
        <f t="shared" si="54"/>
        <v>327533333.33333337</v>
      </c>
      <c r="P48" s="772">
        <f t="shared" si="54"/>
        <v>325266666.66666669</v>
      </c>
      <c r="Q48" s="772">
        <f t="shared" si="54"/>
        <v>323226666.66666669</v>
      </c>
      <c r="R48" s="772">
        <f t="shared" si="54"/>
        <v>311100000</v>
      </c>
      <c r="S48" s="772">
        <f t="shared" si="54"/>
        <v>325799333.33333337</v>
      </c>
      <c r="T48" s="772">
        <f t="shared" si="54"/>
        <v>298780666.66666669</v>
      </c>
      <c r="U48" s="772">
        <f t="shared" si="54"/>
        <v>320892000</v>
      </c>
      <c r="V48" s="772">
        <f t="shared" si="54"/>
        <v>350245333.33333337</v>
      </c>
      <c r="W48" s="772">
        <f t="shared" si="54"/>
        <v>364695333.33333337</v>
      </c>
      <c r="X48" s="772">
        <f t="shared" si="54"/>
        <v>288535333.33333337</v>
      </c>
      <c r="Y48" s="772">
        <f t="shared" si="54"/>
        <v>254365333.33333334</v>
      </c>
      <c r="Z48" s="772">
        <f t="shared" si="54"/>
        <v>257278000</v>
      </c>
      <c r="AA48" s="772">
        <f t="shared" si="54"/>
        <v>263545333.33333334</v>
      </c>
      <c r="AB48" s="772">
        <f t="shared" si="54"/>
        <v>279820000</v>
      </c>
      <c r="AC48" s="772">
        <f t="shared" si="54"/>
        <v>248687333.33333334</v>
      </c>
      <c r="AD48" s="772">
        <f t="shared" si="54"/>
        <v>238816000</v>
      </c>
      <c r="AE48" s="772">
        <f t="shared" si="54"/>
        <v>234418666.66666669</v>
      </c>
      <c r="AF48" s="772">
        <f t="shared" si="54"/>
        <v>253413333.33333334</v>
      </c>
      <c r="AG48" s="772">
        <f t="shared" si="54"/>
        <v>296128666.66666669</v>
      </c>
      <c r="AH48" s="772">
        <f t="shared" si="54"/>
        <v>319940000</v>
      </c>
      <c r="AI48" s="772">
        <f t="shared" si="54"/>
        <v>337914666.66666669</v>
      </c>
      <c r="AJ48" s="772">
        <f t="shared" si="54"/>
        <v>365590666.66666669</v>
      </c>
      <c r="AK48" s="772">
        <f t="shared" si="54"/>
        <v>381627333.33333337</v>
      </c>
      <c r="AL48" s="772">
        <f t="shared" si="54"/>
        <v>353588666.66666669</v>
      </c>
      <c r="AM48" s="772">
        <f t="shared" si="54"/>
        <v>324541333.33333337</v>
      </c>
      <c r="AN48" s="772">
        <f t="shared" si="54"/>
        <v>317877333.33333337</v>
      </c>
      <c r="AO48" s="772">
        <f t="shared" si="54"/>
        <v>291108000</v>
      </c>
      <c r="AP48" s="772">
        <f t="shared" si="54"/>
        <v>320631333.33333337</v>
      </c>
      <c r="AQ48" s="772">
        <f t="shared" si="54"/>
        <v>417066666.66666669</v>
      </c>
      <c r="AR48" s="772">
        <f t="shared" si="54"/>
        <v>419435333.33333337</v>
      </c>
      <c r="AS48" s="772">
        <f t="shared" si="54"/>
        <v>442362666.66666669</v>
      </c>
      <c r="AT48" s="772">
        <f t="shared" si="54"/>
        <v>429928480.72903568</v>
      </c>
      <c r="AU48" s="658">
        <f t="shared" si="54"/>
        <v>385079925.02018911</v>
      </c>
      <c r="AV48" s="658">
        <f t="shared" si="54"/>
        <v>358381905.97104824</v>
      </c>
      <c r="AW48" s="658">
        <f t="shared" si="54"/>
        <v>365450349.45459408</v>
      </c>
      <c r="AX48" s="658">
        <f t="shared" si="54"/>
        <v>404426627.86456275</v>
      </c>
      <c r="AY48" s="658">
        <f t="shared" si="54"/>
        <v>450271600.75166714</v>
      </c>
      <c r="AZ48" s="658">
        <f t="shared" si="54"/>
        <v>464124553.01326114</v>
      </c>
      <c r="BA48" s="658">
        <f t="shared" si="54"/>
        <v>490336763.18999994</v>
      </c>
      <c r="BB48" s="658">
        <f t="shared" si="54"/>
        <v>543865990.58020711</v>
      </c>
      <c r="BC48" s="658">
        <f t="shared" si="54"/>
        <v>571576013.79636884</v>
      </c>
      <c r="BD48" s="658">
        <f t="shared" si="54"/>
        <v>447972006.50337148</v>
      </c>
      <c r="BE48" s="658">
        <f t="shared" si="54"/>
        <v>348009572.91704518</v>
      </c>
      <c r="BF48" s="658">
        <f t="shared" si="54"/>
        <v>352653624.82164407</v>
      </c>
      <c r="BG48" s="658">
        <f t="shared" si="54"/>
        <v>396779623.7170344</v>
      </c>
      <c r="BH48" s="658">
        <f t="shared" si="54"/>
        <v>428264388.52257901</v>
      </c>
      <c r="BI48" s="658">
        <f t="shared" si="54"/>
        <v>440493304.01240301</v>
      </c>
      <c r="BJ48" s="658">
        <f t="shared" si="54"/>
        <v>438353684.37427515</v>
      </c>
      <c r="BK48" s="658">
        <f t="shared" si="54"/>
        <v>341574302.39495516</v>
      </c>
      <c r="BL48" s="658">
        <f t="shared" si="54"/>
        <v>289550906.34884405</v>
      </c>
      <c r="BM48" s="658">
        <f t="shared" si="54"/>
        <v>303289587.04156291</v>
      </c>
      <c r="BN48" s="658">
        <f t="shared" si="54"/>
        <v>304560622.44171983</v>
      </c>
      <c r="BO48" s="658">
        <f t="shared" si="54"/>
        <v>366278522.67173648</v>
      </c>
      <c r="BP48" s="658">
        <f t="shared" si="54"/>
        <v>376871752.68364006</v>
      </c>
      <c r="BQ48" s="658">
        <f t="shared" si="54"/>
        <v>383983297.46523815</v>
      </c>
      <c r="BR48" s="658">
        <f t="shared" si="54"/>
        <v>498839665.80887091</v>
      </c>
      <c r="BS48" s="658">
        <f t="shared" ref="BS48:CL49" si="55">BS4*BS14</f>
        <v>462136776.70313042</v>
      </c>
      <c r="BT48" s="658">
        <f t="shared" si="55"/>
        <v>422339719.04686475</v>
      </c>
      <c r="BU48" s="658">
        <f t="shared" si="55"/>
        <v>216757577.51937988</v>
      </c>
      <c r="BV48" s="658">
        <f t="shared" si="55"/>
        <v>304911337</v>
      </c>
      <c r="BW48" s="658">
        <f t="shared" si="55"/>
        <v>296476164.95898461</v>
      </c>
      <c r="BX48" s="658">
        <f t="shared" si="55"/>
        <v>302313693.91750538</v>
      </c>
      <c r="BY48" s="658">
        <f t="shared" si="55"/>
        <v>305445491.78158271</v>
      </c>
      <c r="BZ48" s="658">
        <f t="shared" si="55"/>
        <v>309317829.16913664</v>
      </c>
      <c r="CA48" s="658">
        <f t="shared" si="55"/>
        <v>331013338.95160294</v>
      </c>
      <c r="CB48" s="658">
        <f t="shared" si="55"/>
        <v>387430433.51402414</v>
      </c>
      <c r="CC48" s="658">
        <f t="shared" si="55"/>
        <v>401306632.7953257</v>
      </c>
      <c r="CD48" s="658">
        <f t="shared" si="55"/>
        <v>459550694.32154572</v>
      </c>
      <c r="CE48" s="658">
        <f t="shared" si="55"/>
        <v>504916903.97234732</v>
      </c>
      <c r="CF48" s="658">
        <f t="shared" si="55"/>
        <v>513723584.20511931</v>
      </c>
      <c r="CG48" s="658">
        <f t="shared" si="55"/>
        <v>468121623.78720415</v>
      </c>
      <c r="CH48" s="658">
        <f t="shared" si="55"/>
        <v>413099474.54769146</v>
      </c>
      <c r="CI48" s="658">
        <f t="shared" si="55"/>
        <v>458131228.0794524</v>
      </c>
      <c r="CJ48" s="658">
        <f t="shared" si="55"/>
        <v>547141941.14295363</v>
      </c>
      <c r="CK48" s="658">
        <f t="shared" si="55"/>
        <v>575501124.98956645</v>
      </c>
      <c r="CL48" s="665">
        <f t="shared" si="55"/>
        <v>579275174.2837553</v>
      </c>
      <c r="CM48" s="642">
        <f t="shared" si="0"/>
        <v>370766577.18392479</v>
      </c>
      <c r="CN48" s="245"/>
      <c r="CO48" s="245"/>
      <c r="CP48" s="245"/>
      <c r="CQ48" s="245"/>
      <c r="CR48" s="245"/>
      <c r="CS48" s="245"/>
      <c r="CT48" s="245"/>
      <c r="CU48" s="245"/>
      <c r="CV48" s="245"/>
      <c r="CW48" s="245"/>
      <c r="CX48" s="245"/>
      <c r="CY48" s="245"/>
      <c r="CZ48" s="245"/>
      <c r="DA48" s="245"/>
      <c r="DB48" s="245"/>
      <c r="DC48" s="245"/>
      <c r="DD48" s="245"/>
      <c r="DE48" s="245"/>
      <c r="DF48" s="245"/>
      <c r="DG48" s="245"/>
      <c r="DH48" s="245"/>
      <c r="DI48" s="245"/>
      <c r="DJ48" s="245"/>
      <c r="DK48" s="245"/>
      <c r="DL48" s="245"/>
      <c r="DM48" s="245"/>
      <c r="DN48" s="245"/>
      <c r="DO48" s="245"/>
      <c r="DP48" s="245"/>
      <c r="DQ48" s="245"/>
      <c r="DR48" s="245"/>
      <c r="DS48" s="245"/>
      <c r="DT48" s="245"/>
      <c r="DU48" s="245"/>
      <c r="DV48" s="245"/>
      <c r="DW48" s="245"/>
      <c r="DX48" s="245"/>
      <c r="DY48" s="245"/>
      <c r="DZ48" s="245"/>
      <c r="EA48" s="245"/>
      <c r="EB48" s="245"/>
      <c r="EC48" s="245"/>
      <c r="ED48" s="245"/>
      <c r="EE48" s="245"/>
      <c r="EF48" s="245"/>
      <c r="EG48" s="245"/>
      <c r="EH48" s="245"/>
      <c r="EI48" s="245"/>
      <c r="EJ48" s="245"/>
      <c r="EK48" s="245"/>
      <c r="EL48" s="245"/>
      <c r="EM48" s="245"/>
      <c r="EN48" s="245"/>
      <c r="EO48" s="245"/>
      <c r="EP48" s="245"/>
      <c r="EQ48" s="245"/>
      <c r="ER48" s="245"/>
      <c r="ES48" s="245"/>
      <c r="ET48" s="245"/>
      <c r="EU48" s="245"/>
      <c r="EV48" s="245"/>
      <c r="EW48" s="245"/>
      <c r="EX48" s="245"/>
      <c r="EY48" s="245"/>
      <c r="EZ48" s="245"/>
      <c r="FA48" s="245"/>
      <c r="FB48" s="245"/>
      <c r="FC48" s="245"/>
      <c r="FD48" s="245"/>
      <c r="FE48" s="245"/>
      <c r="FF48" s="245"/>
      <c r="FG48" s="245"/>
      <c r="FH48" s="245"/>
      <c r="FI48" s="245"/>
      <c r="FJ48" s="245"/>
      <c r="FK48" s="245"/>
      <c r="FL48" s="245"/>
      <c r="FM48" s="245"/>
      <c r="FN48" s="245"/>
      <c r="FO48" s="245"/>
      <c r="FP48" s="245"/>
      <c r="FQ48" s="245"/>
      <c r="FR48" s="245"/>
      <c r="FS48" s="245"/>
      <c r="FT48" s="245"/>
      <c r="FU48" s="245"/>
      <c r="FV48" s="245"/>
    </row>
    <row r="49" spans="1:178">
      <c r="A49" s="770" t="s">
        <v>332</v>
      </c>
      <c r="B49" s="771" t="s">
        <v>312</v>
      </c>
      <c r="C49" s="640" t="s">
        <v>326</v>
      </c>
      <c r="D49" s="640"/>
      <c r="E49" s="245"/>
      <c r="F49" s="665" t="s">
        <v>1</v>
      </c>
      <c r="G49" s="772">
        <f t="shared" si="54"/>
        <v>4873275000</v>
      </c>
      <c r="H49" s="772">
        <f t="shared" si="54"/>
        <v>4926975000</v>
      </c>
      <c r="I49" s="772">
        <f t="shared" si="54"/>
        <v>4577925000</v>
      </c>
      <c r="J49" s="772">
        <f t="shared" si="54"/>
        <v>4497375000</v>
      </c>
      <c r="K49" s="772">
        <f t="shared" si="54"/>
        <v>4457100000</v>
      </c>
      <c r="L49" s="772">
        <f t="shared" si="54"/>
        <v>4598062500</v>
      </c>
      <c r="M49" s="772">
        <f t="shared" si="54"/>
        <v>4552417500</v>
      </c>
      <c r="N49" s="772">
        <f t="shared" si="54"/>
        <v>4505430000</v>
      </c>
      <c r="O49" s="772">
        <f t="shared" si="54"/>
        <v>4450387500</v>
      </c>
      <c r="P49" s="772">
        <f t="shared" si="54"/>
        <v>4389975000</v>
      </c>
      <c r="Q49" s="772">
        <f t="shared" si="54"/>
        <v>4363125000</v>
      </c>
      <c r="R49" s="772">
        <f t="shared" si="54"/>
        <v>4202025000</v>
      </c>
      <c r="S49" s="772">
        <f t="shared" si="54"/>
        <v>4249012500</v>
      </c>
      <c r="T49" s="772">
        <f t="shared" si="54"/>
        <v>4403400000</v>
      </c>
      <c r="U49" s="772">
        <f t="shared" si="54"/>
        <v>3536145000</v>
      </c>
      <c r="V49" s="772">
        <f t="shared" si="54"/>
        <v>3823440000</v>
      </c>
      <c r="W49" s="772">
        <f t="shared" si="54"/>
        <v>2687685000</v>
      </c>
      <c r="X49" s="772">
        <f t="shared" si="54"/>
        <v>3444855000</v>
      </c>
      <c r="Y49" s="772">
        <f t="shared" si="54"/>
        <v>3801960000</v>
      </c>
      <c r="Z49" s="772">
        <f t="shared" si="54"/>
        <v>4087912500</v>
      </c>
      <c r="AA49" s="772">
        <f t="shared" si="54"/>
        <v>3917415000</v>
      </c>
      <c r="AB49" s="772">
        <f t="shared" si="54"/>
        <v>4290630000</v>
      </c>
      <c r="AC49" s="772">
        <f t="shared" si="54"/>
        <v>3562995000</v>
      </c>
      <c r="AD49" s="772">
        <f t="shared" si="54"/>
        <v>3710670000</v>
      </c>
      <c r="AE49" s="772">
        <f t="shared" si="54"/>
        <v>3170985000</v>
      </c>
      <c r="AF49" s="772">
        <f t="shared" si="54"/>
        <v>3887880000</v>
      </c>
      <c r="AG49" s="772">
        <f t="shared" si="54"/>
        <v>3933525000</v>
      </c>
      <c r="AH49" s="772">
        <f t="shared" si="54"/>
        <v>5110897500</v>
      </c>
      <c r="AI49" s="772">
        <f t="shared" si="54"/>
        <v>5055855000</v>
      </c>
      <c r="AJ49" s="772">
        <f t="shared" si="54"/>
        <v>4739025000</v>
      </c>
      <c r="AK49" s="772">
        <f t="shared" si="54"/>
        <v>4869247500</v>
      </c>
      <c r="AL49" s="772">
        <f t="shared" si="54"/>
        <v>4271835000</v>
      </c>
      <c r="AM49" s="772">
        <f t="shared" si="54"/>
        <v>4048980000</v>
      </c>
      <c r="AN49" s="772">
        <f t="shared" si="54"/>
        <v>4110735000</v>
      </c>
      <c r="AO49" s="772">
        <f t="shared" si="54"/>
        <v>4300027500</v>
      </c>
      <c r="AP49" s="772">
        <f t="shared" si="54"/>
        <v>3548227500</v>
      </c>
      <c r="AQ49" s="772">
        <f t="shared" si="54"/>
        <v>5433097500</v>
      </c>
      <c r="AR49" s="772">
        <f t="shared" si="54"/>
        <v>4988730000</v>
      </c>
      <c r="AS49" s="772">
        <f t="shared" si="54"/>
        <v>4736340000</v>
      </c>
      <c r="AT49" s="772">
        <f t="shared" si="54"/>
        <v>5030202217.9910574</v>
      </c>
      <c r="AU49" s="658">
        <f t="shared" si="54"/>
        <v>4696037514.2893448</v>
      </c>
      <c r="AV49" s="658">
        <f t="shared" si="54"/>
        <v>4966609196.5035572</v>
      </c>
      <c r="AW49" s="658">
        <f t="shared" si="54"/>
        <v>5156735108.5827198</v>
      </c>
      <c r="AX49" s="658">
        <f t="shared" si="54"/>
        <v>5783180778.2421961</v>
      </c>
      <c r="AY49" s="658">
        <f t="shared" si="54"/>
        <v>5684026050.8294287</v>
      </c>
      <c r="AZ49" s="658">
        <f t="shared" si="54"/>
        <v>5930735442.4069881</v>
      </c>
      <c r="BA49" s="658">
        <f t="shared" si="54"/>
        <v>6101645450.4320116</v>
      </c>
      <c r="BB49" s="658">
        <f t="shared" si="54"/>
        <v>6494321631.537281</v>
      </c>
      <c r="BC49" s="658">
        <f t="shared" si="54"/>
        <v>6677123582.1894426</v>
      </c>
      <c r="BD49" s="658">
        <f t="shared" si="54"/>
        <v>4908005751.3308287</v>
      </c>
      <c r="BE49" s="658">
        <f t="shared" si="54"/>
        <v>4213774854.3266935</v>
      </c>
      <c r="BF49" s="658">
        <f t="shared" si="54"/>
        <v>4289918510.497251</v>
      </c>
      <c r="BG49" s="658">
        <f t="shared" si="54"/>
        <v>4764343215.0946264</v>
      </c>
      <c r="BH49" s="658">
        <f t="shared" si="54"/>
        <v>4987618472.2459564</v>
      </c>
      <c r="BI49" s="658">
        <f t="shared" si="54"/>
        <v>5400137510.1751614</v>
      </c>
      <c r="BJ49" s="658">
        <f t="shared" si="54"/>
        <v>5340036481.5680666</v>
      </c>
      <c r="BK49" s="658">
        <f t="shared" si="54"/>
        <v>4404217760.1270571</v>
      </c>
      <c r="BL49" s="658">
        <f t="shared" si="54"/>
        <v>4678885617.810997</v>
      </c>
      <c r="BM49" s="658">
        <f t="shared" si="54"/>
        <v>4395803062.5862684</v>
      </c>
      <c r="BN49" s="658">
        <f t="shared" si="54"/>
        <v>4556645632.7140312</v>
      </c>
      <c r="BO49" s="658">
        <f t="shared" si="54"/>
        <v>4854623755.9281235</v>
      </c>
      <c r="BP49" s="658">
        <f t="shared" si="54"/>
        <v>4860963964.634923</v>
      </c>
      <c r="BQ49" s="658">
        <f t="shared" si="54"/>
        <v>5264265093.3009176</v>
      </c>
      <c r="BR49" s="658">
        <f t="shared" si="54"/>
        <v>5102239717.3726568</v>
      </c>
      <c r="BS49" s="658">
        <f t="shared" si="55"/>
        <v>4557642401.9652891</v>
      </c>
      <c r="BT49" s="658">
        <f t="shared" si="55"/>
        <v>2930708447.3615656</v>
      </c>
      <c r="BU49" s="658">
        <f t="shared" si="55"/>
        <v>5587216503.4159889</v>
      </c>
      <c r="BV49" s="658">
        <f t="shared" si="55"/>
        <v>4872350017.9123583</v>
      </c>
      <c r="BW49" s="658">
        <f t="shared" si="55"/>
        <v>5400952681.235425</v>
      </c>
      <c r="BX49" s="658">
        <f t="shared" si="55"/>
        <v>3891170028.2907062</v>
      </c>
      <c r="BY49" s="658">
        <f t="shared" si="55"/>
        <v>3933018157.6299548</v>
      </c>
      <c r="BZ49" s="658">
        <f t="shared" si="55"/>
        <v>3768567776.355536</v>
      </c>
      <c r="CA49" s="658">
        <f t="shared" si="55"/>
        <v>3117196435.8266759</v>
      </c>
      <c r="CB49" s="658">
        <f t="shared" si="55"/>
        <v>3716058549.3068819</v>
      </c>
      <c r="CC49" s="658">
        <f t="shared" si="55"/>
        <v>4282108683.9819984</v>
      </c>
      <c r="CD49" s="658">
        <f t="shared" si="55"/>
        <v>4880338833.9860449</v>
      </c>
      <c r="CE49" s="658">
        <f t="shared" si="55"/>
        <v>5388093340.0656729</v>
      </c>
      <c r="CF49" s="658">
        <f t="shared" si="55"/>
        <v>5765184638.427537</v>
      </c>
      <c r="CG49" s="658">
        <f t="shared" si="55"/>
        <v>5512504536.7665443</v>
      </c>
      <c r="CH49" s="658">
        <f t="shared" si="55"/>
        <v>5808469798.17274</v>
      </c>
      <c r="CI49" s="658">
        <f t="shared" si="55"/>
        <v>6278124365.1220627</v>
      </c>
      <c r="CJ49" s="658">
        <f t="shared" si="55"/>
        <v>6692115965.5554724</v>
      </c>
      <c r="CK49" s="658">
        <f t="shared" si="55"/>
        <v>6438478441.353652</v>
      </c>
      <c r="CL49" s="665">
        <f t="shared" si="55"/>
        <v>6604833704.6826477</v>
      </c>
      <c r="CM49" s="642">
        <f t="shared" si="0"/>
        <v>4691462020.0015755</v>
      </c>
      <c r="CN49" s="245"/>
      <c r="CO49" s="245"/>
      <c r="CP49" s="245"/>
      <c r="CQ49" s="245"/>
      <c r="CR49" s="245"/>
      <c r="CS49" s="245"/>
      <c r="CT49" s="245"/>
      <c r="CU49" s="245"/>
      <c r="CV49" s="245"/>
      <c r="CW49" s="245"/>
      <c r="CX49" s="245"/>
      <c r="CY49" s="245"/>
      <c r="CZ49" s="245"/>
      <c r="DA49" s="245"/>
      <c r="DB49" s="245"/>
      <c r="DC49" s="245"/>
      <c r="DD49" s="245"/>
      <c r="DE49" s="245"/>
      <c r="DF49" s="245"/>
      <c r="DG49" s="245"/>
      <c r="DH49" s="245"/>
      <c r="DI49" s="245"/>
      <c r="DJ49" s="245"/>
      <c r="DK49" s="245"/>
      <c r="DL49" s="245"/>
      <c r="DM49" s="245"/>
      <c r="DN49" s="245"/>
      <c r="DO49" s="245"/>
      <c r="DP49" s="245"/>
      <c r="DQ49" s="245"/>
      <c r="DR49" s="245"/>
      <c r="DS49" s="245"/>
      <c r="DT49" s="245"/>
      <c r="DU49" s="245"/>
      <c r="DV49" s="245"/>
      <c r="DW49" s="245"/>
      <c r="DX49" s="245"/>
      <c r="DY49" s="245"/>
      <c r="DZ49" s="245"/>
      <c r="EA49" s="245"/>
      <c r="EB49" s="245"/>
      <c r="EC49" s="245"/>
      <c r="ED49" s="245"/>
      <c r="EE49" s="245"/>
      <c r="EF49" s="245"/>
      <c r="EG49" s="245"/>
      <c r="EH49" s="245"/>
      <c r="EI49" s="245"/>
      <c r="EJ49" s="245"/>
      <c r="EK49" s="245"/>
      <c r="EL49" s="245"/>
      <c r="EM49" s="245"/>
      <c r="EN49" s="245"/>
      <c r="EO49" s="245"/>
      <c r="EP49" s="245"/>
      <c r="EQ49" s="245"/>
      <c r="ER49" s="245"/>
      <c r="ES49" s="245"/>
      <c r="ET49" s="245"/>
      <c r="EU49" s="245"/>
      <c r="EV49" s="245"/>
      <c r="EW49" s="245"/>
      <c r="EX49" s="245"/>
      <c r="EY49" s="245"/>
      <c r="EZ49" s="245"/>
      <c r="FA49" s="245"/>
      <c r="FB49" s="245"/>
      <c r="FC49" s="245"/>
      <c r="FD49" s="245"/>
      <c r="FE49" s="245"/>
      <c r="FF49" s="245"/>
      <c r="FG49" s="245"/>
      <c r="FH49" s="245"/>
      <c r="FI49" s="245"/>
      <c r="FJ49" s="245"/>
      <c r="FK49" s="245"/>
      <c r="FL49" s="245"/>
      <c r="FM49" s="245"/>
      <c r="FN49" s="245"/>
      <c r="FO49" s="245"/>
      <c r="FP49" s="245"/>
      <c r="FQ49" s="245"/>
      <c r="FR49" s="245"/>
      <c r="FS49" s="245"/>
      <c r="FT49" s="245"/>
      <c r="FU49" s="245"/>
      <c r="FV49" s="245"/>
    </row>
    <row r="50" spans="1:178">
      <c r="A50" s="770" t="s">
        <v>333</v>
      </c>
      <c r="B50" s="771" t="s">
        <v>312</v>
      </c>
      <c r="C50" s="640" t="s">
        <v>326</v>
      </c>
      <c r="D50" s="640"/>
      <c r="E50" s="245"/>
      <c r="F50" s="665" t="s">
        <v>334</v>
      </c>
      <c r="G50" s="772">
        <f t="shared" ref="G50:BR50" si="56">G46*$CO$4+G47*$CP$4+G48*$CQ$4+G49*$CR$4</f>
        <v>5865574183.2744513</v>
      </c>
      <c r="H50" s="772">
        <f t="shared" si="56"/>
        <v>5820273813.4492855</v>
      </c>
      <c r="I50" s="772">
        <f t="shared" si="56"/>
        <v>5209176916.6893139</v>
      </c>
      <c r="J50" s="772">
        <f t="shared" si="56"/>
        <v>5045020885.6176586</v>
      </c>
      <c r="K50" s="772">
        <f t="shared" si="56"/>
        <v>5015086140.4263668</v>
      </c>
      <c r="L50" s="772">
        <f t="shared" si="56"/>
        <v>5145097655.9621944</v>
      </c>
      <c r="M50" s="772">
        <f t="shared" si="56"/>
        <v>5073197566.355648</v>
      </c>
      <c r="N50" s="772">
        <f t="shared" si="56"/>
        <v>5015488480.5386963</v>
      </c>
      <c r="O50" s="772">
        <f t="shared" si="56"/>
        <v>4882410154.8298454</v>
      </c>
      <c r="P50" s="772">
        <f t="shared" si="56"/>
        <v>4812047170.3354778</v>
      </c>
      <c r="Q50" s="772">
        <f t="shared" si="56"/>
        <v>4773096228.8250742</v>
      </c>
      <c r="R50" s="772">
        <f t="shared" si="56"/>
        <v>4600371655.6451368</v>
      </c>
      <c r="S50" s="772">
        <f t="shared" si="56"/>
        <v>4714211596.9441671</v>
      </c>
      <c r="T50" s="772">
        <f t="shared" si="56"/>
        <v>4720025362.3365641</v>
      </c>
      <c r="U50" s="772">
        <f t="shared" si="56"/>
        <v>4211663261.5575075</v>
      </c>
      <c r="V50" s="772">
        <f t="shared" si="56"/>
        <v>4669060019.2952251</v>
      </c>
      <c r="W50" s="772">
        <f t="shared" si="56"/>
        <v>3993097761.6329975</v>
      </c>
      <c r="X50" s="772">
        <f t="shared" si="56"/>
        <v>4085924805.9606848</v>
      </c>
      <c r="Y50" s="772">
        <f t="shared" si="56"/>
        <v>3808451335.598031</v>
      </c>
      <c r="Z50" s="772">
        <f t="shared" si="56"/>
        <v>4105933361.430685</v>
      </c>
      <c r="AA50" s="772">
        <f t="shared" si="56"/>
        <v>3960007046.1394444</v>
      </c>
      <c r="AB50" s="772">
        <f t="shared" si="56"/>
        <v>4216270528.686173</v>
      </c>
      <c r="AC50" s="772">
        <f t="shared" si="56"/>
        <v>3790548763.0824051</v>
      </c>
      <c r="AD50" s="772">
        <f t="shared" si="56"/>
        <v>3815785002.2194037</v>
      </c>
      <c r="AE50" s="772">
        <f t="shared" si="56"/>
        <v>3303819051.4690342</v>
      </c>
      <c r="AF50" s="772">
        <f t="shared" si="56"/>
        <v>4029787222.2876463</v>
      </c>
      <c r="AG50" s="772">
        <f t="shared" si="56"/>
        <v>4194548077.0903158</v>
      </c>
      <c r="AH50" s="772">
        <f t="shared" si="56"/>
        <v>5074922731.2709484</v>
      </c>
      <c r="AI50" s="772">
        <f t="shared" si="56"/>
        <v>5198853887.489809</v>
      </c>
      <c r="AJ50" s="772">
        <f t="shared" si="56"/>
        <v>5335482276.0364761</v>
      </c>
      <c r="AK50" s="772">
        <f t="shared" si="56"/>
        <v>5498095436.890419</v>
      </c>
      <c r="AL50" s="772">
        <f t="shared" si="56"/>
        <v>4863457684.9503279</v>
      </c>
      <c r="AM50" s="772">
        <f t="shared" si="56"/>
        <v>4575315207.6878948</v>
      </c>
      <c r="AN50" s="772">
        <f t="shared" si="56"/>
        <v>4602662419.70891</v>
      </c>
      <c r="AO50" s="772">
        <f t="shared" si="56"/>
        <v>4355291642.5249863</v>
      </c>
      <c r="AP50" s="772">
        <f t="shared" si="56"/>
        <v>4129362025.3193226</v>
      </c>
      <c r="AQ50" s="772">
        <f t="shared" si="56"/>
        <v>6178176737.1893587</v>
      </c>
      <c r="AR50" s="772">
        <f t="shared" si="56"/>
        <v>5978277043.8294525</v>
      </c>
      <c r="AS50" s="772">
        <f t="shared" si="56"/>
        <v>5896833134.1154099</v>
      </c>
      <c r="AT50" s="772">
        <f t="shared" si="56"/>
        <v>6018218841.6087494</v>
      </c>
      <c r="AU50" s="658">
        <f t="shared" si="56"/>
        <v>5652297659.7882071</v>
      </c>
      <c r="AV50" s="658">
        <f t="shared" si="56"/>
        <v>5938740230.337965</v>
      </c>
      <c r="AW50" s="658">
        <f t="shared" si="56"/>
        <v>6013219807.0803194</v>
      </c>
      <c r="AX50" s="658">
        <f t="shared" si="56"/>
        <v>6158750082.1766682</v>
      </c>
      <c r="AY50" s="658">
        <f t="shared" si="56"/>
        <v>6753115249.5705585</v>
      </c>
      <c r="AZ50" s="658">
        <f t="shared" si="56"/>
        <v>7118038576.6812658</v>
      </c>
      <c r="BA50" s="658">
        <f t="shared" si="56"/>
        <v>7384894901.635294</v>
      </c>
      <c r="BB50" s="658">
        <f t="shared" si="56"/>
        <v>7778675782.1568642</v>
      </c>
      <c r="BC50" s="658">
        <f t="shared" si="56"/>
        <v>7338962067.0605879</v>
      </c>
      <c r="BD50" s="658">
        <f t="shared" si="56"/>
        <v>5738225061.6714478</v>
      </c>
      <c r="BE50" s="658">
        <f t="shared" si="56"/>
        <v>4988380534.2075262</v>
      </c>
      <c r="BF50" s="658">
        <f t="shared" si="56"/>
        <v>5022739878.0982075</v>
      </c>
      <c r="BG50" s="658">
        <f t="shared" si="56"/>
        <v>5331371796.42696</v>
      </c>
      <c r="BH50" s="658">
        <f t="shared" si="56"/>
        <v>5589835860.9681931</v>
      </c>
      <c r="BI50" s="658">
        <f t="shared" si="56"/>
        <v>5964246674.9713125</v>
      </c>
      <c r="BJ50" s="658">
        <f t="shared" si="56"/>
        <v>5958196363.5134048</v>
      </c>
      <c r="BK50" s="658">
        <f t="shared" si="56"/>
        <v>5102701431.9134417</v>
      </c>
      <c r="BL50" s="658">
        <f t="shared" si="56"/>
        <v>5080292825.4896526</v>
      </c>
      <c r="BM50" s="658">
        <f t="shared" si="56"/>
        <v>4978366927.8897991</v>
      </c>
      <c r="BN50" s="658">
        <f t="shared" si="56"/>
        <v>4966148196.7766018</v>
      </c>
      <c r="BO50" s="658">
        <f t="shared" si="56"/>
        <v>5288887021.8525772</v>
      </c>
      <c r="BP50" s="658">
        <f t="shared" si="56"/>
        <v>5333834911.1779938</v>
      </c>
      <c r="BQ50" s="658">
        <f t="shared" si="56"/>
        <v>5612911916.7418699</v>
      </c>
      <c r="BR50" s="658">
        <f t="shared" si="56"/>
        <v>5970600812.9051151</v>
      </c>
      <c r="BS50" s="658">
        <f t="shared" ref="BS50:CL50" si="57">BS46*$CO$4+BS47*$CP$4+BS48*$CQ$4+BS49*$CR$4</f>
        <v>5483088672.9042568</v>
      </c>
      <c r="BT50" s="658">
        <f t="shared" si="57"/>
        <v>4318618210.6591778</v>
      </c>
      <c r="BU50" s="658">
        <f t="shared" si="57"/>
        <v>5027060424.7329636</v>
      </c>
      <c r="BV50" s="658">
        <f t="shared" si="57"/>
        <v>5003009762.5413418</v>
      </c>
      <c r="BW50" s="658">
        <f t="shared" si="57"/>
        <v>5358374050.7268009</v>
      </c>
      <c r="BX50" s="658">
        <f t="shared" si="57"/>
        <v>4481136823.4408646</v>
      </c>
      <c r="BY50" s="658">
        <f t="shared" si="57"/>
        <v>4538113004.2209625</v>
      </c>
      <c r="BZ50" s="658">
        <f t="shared" si="57"/>
        <v>4462475507.9961872</v>
      </c>
      <c r="CA50" s="658">
        <f t="shared" si="57"/>
        <v>3989781303.8524714</v>
      </c>
      <c r="CB50" s="658">
        <f t="shared" si="57"/>
        <v>4513451113.577343</v>
      </c>
      <c r="CC50" s="658">
        <f t="shared" si="57"/>
        <v>4953425657.1573496</v>
      </c>
      <c r="CD50" s="658">
        <f t="shared" si="57"/>
        <v>5581229069.3444729</v>
      </c>
      <c r="CE50" s="658">
        <f t="shared" si="57"/>
        <v>6079948336.9101601</v>
      </c>
      <c r="CF50" s="658">
        <f t="shared" si="57"/>
        <v>6369746434.4960642</v>
      </c>
      <c r="CG50" s="658">
        <f t="shared" si="57"/>
        <v>6026728467.4684181</v>
      </c>
      <c r="CH50" s="658">
        <f t="shared" si="57"/>
        <v>5962436626.7826633</v>
      </c>
      <c r="CI50" s="658">
        <f t="shared" si="57"/>
        <v>6364063159.7277718</v>
      </c>
      <c r="CJ50" s="658">
        <f t="shared" si="57"/>
        <v>6951363962.7886696</v>
      </c>
      <c r="CK50" s="658">
        <f t="shared" si="57"/>
        <v>6897427828.2551594</v>
      </c>
      <c r="CL50" s="665">
        <f t="shared" si="57"/>
        <v>6997633151.0164948</v>
      </c>
      <c r="CM50" s="642">
        <f t="shared" si="0"/>
        <v>5250041300.666584</v>
      </c>
      <c r="CN50" s="245"/>
      <c r="CO50" s="245"/>
      <c r="CP50" s="245"/>
      <c r="CQ50" s="245"/>
      <c r="CR50" s="245"/>
      <c r="CS50" s="245"/>
      <c r="CT50" s="245"/>
      <c r="CU50" s="245"/>
      <c r="CV50" s="245"/>
      <c r="CW50" s="245"/>
      <c r="CX50" s="245"/>
      <c r="CY50" s="245"/>
      <c r="CZ50" s="245"/>
      <c r="DA50" s="245"/>
      <c r="DB50" s="245"/>
      <c r="DC50" s="245"/>
      <c r="DD50" s="245"/>
      <c r="DE50" s="245"/>
      <c r="DF50" s="245"/>
      <c r="DG50" s="245"/>
      <c r="DH50" s="245"/>
      <c r="DI50" s="245"/>
      <c r="DJ50" s="245"/>
      <c r="DK50" s="245"/>
      <c r="DL50" s="245"/>
      <c r="DM50" s="245"/>
      <c r="DN50" s="245"/>
      <c r="DO50" s="245"/>
      <c r="DP50" s="245"/>
      <c r="DQ50" s="245"/>
      <c r="DR50" s="245"/>
      <c r="DS50" s="245"/>
      <c r="DT50" s="245"/>
      <c r="DU50" s="245"/>
      <c r="DV50" s="245"/>
      <c r="DW50" s="245"/>
      <c r="DX50" s="245"/>
      <c r="DY50" s="245"/>
      <c r="DZ50" s="245"/>
      <c r="EA50" s="245"/>
      <c r="EB50" s="245"/>
      <c r="EC50" s="245"/>
      <c r="ED50" s="245"/>
      <c r="EE50" s="245"/>
      <c r="EF50" s="245"/>
      <c r="EG50" s="245"/>
      <c r="EH50" s="245"/>
      <c r="EI50" s="245"/>
      <c r="EJ50" s="245"/>
      <c r="EK50" s="245"/>
      <c r="EL50" s="245"/>
      <c r="EM50" s="245"/>
      <c r="EN50" s="245"/>
      <c r="EO50" s="245"/>
      <c r="EP50" s="245"/>
      <c r="EQ50" s="245"/>
      <c r="ER50" s="245"/>
      <c r="ES50" s="245"/>
      <c r="ET50" s="245"/>
      <c r="EU50" s="245"/>
      <c r="EV50" s="245"/>
      <c r="EW50" s="245"/>
      <c r="EX50" s="245"/>
      <c r="EY50" s="245"/>
      <c r="EZ50" s="245"/>
      <c r="FA50" s="245"/>
      <c r="FB50" s="245"/>
      <c r="FC50" s="245"/>
      <c r="FD50" s="245"/>
      <c r="FE50" s="245"/>
      <c r="FF50" s="245"/>
      <c r="FG50" s="245"/>
      <c r="FH50" s="245"/>
      <c r="FI50" s="245"/>
      <c r="FJ50" s="245"/>
      <c r="FK50" s="245"/>
      <c r="FL50" s="245"/>
      <c r="FM50" s="245"/>
      <c r="FN50" s="245"/>
      <c r="FO50" s="245"/>
      <c r="FP50" s="245"/>
      <c r="FQ50" s="245"/>
      <c r="FR50" s="245"/>
      <c r="FS50" s="245"/>
      <c r="FT50" s="245"/>
      <c r="FU50" s="245"/>
      <c r="FV50" s="245"/>
    </row>
    <row r="51" spans="1:178">
      <c r="A51" s="770" t="s">
        <v>335</v>
      </c>
      <c r="B51" s="771" t="s">
        <v>312</v>
      </c>
      <c r="C51" s="640" t="s">
        <v>326</v>
      </c>
      <c r="D51" s="640"/>
      <c r="E51" s="245"/>
      <c r="F51" s="665" t="s">
        <v>336</v>
      </c>
      <c r="G51" s="772">
        <f t="shared" ref="G51:BR51" si="58">$CO$5*G46+G47*$CP$5+G48*$CQ$5+G49*$CR$5</f>
        <v>3039746650.0588822</v>
      </c>
      <c r="H51" s="772">
        <f t="shared" si="58"/>
        <v>3036917853.217381</v>
      </c>
      <c r="I51" s="772">
        <f t="shared" si="58"/>
        <v>2777531416.6440201</v>
      </c>
      <c r="J51" s="772">
        <f t="shared" si="58"/>
        <v>2711577447.7156754</v>
      </c>
      <c r="K51" s="772">
        <f t="shared" si="58"/>
        <v>2683601359.5736332</v>
      </c>
      <c r="L51" s="772">
        <f t="shared" si="58"/>
        <v>2753635677.3711386</v>
      </c>
      <c r="M51" s="772">
        <f t="shared" si="58"/>
        <v>2719949100.3110189</v>
      </c>
      <c r="N51" s="772">
        <f t="shared" si="58"/>
        <v>2691109019.4613042</v>
      </c>
      <c r="O51" s="772">
        <f t="shared" si="58"/>
        <v>2622973178.5034876</v>
      </c>
      <c r="P51" s="772">
        <f t="shared" si="58"/>
        <v>2586441996.3311896</v>
      </c>
      <c r="Q51" s="772">
        <f t="shared" si="58"/>
        <v>2568172104.5082588</v>
      </c>
      <c r="R51" s="772">
        <f t="shared" si="58"/>
        <v>2472957511.0215302</v>
      </c>
      <c r="S51" s="772">
        <f t="shared" si="58"/>
        <v>2517971069.7224994</v>
      </c>
      <c r="T51" s="772">
        <f t="shared" si="58"/>
        <v>2548405554.3301029</v>
      </c>
      <c r="U51" s="772">
        <f t="shared" si="58"/>
        <v>2201463988.442492</v>
      </c>
      <c r="V51" s="772">
        <f t="shared" si="58"/>
        <v>2406008314.0381074</v>
      </c>
      <c r="W51" s="772">
        <f t="shared" si="58"/>
        <v>1941721738.367002</v>
      </c>
      <c r="X51" s="772">
        <f t="shared" si="58"/>
        <v>2126375694.0393155</v>
      </c>
      <c r="Y51" s="772">
        <f t="shared" si="58"/>
        <v>2181417581.0686359</v>
      </c>
      <c r="Z51" s="772">
        <f t="shared" si="58"/>
        <v>2327388471.9026484</v>
      </c>
      <c r="AA51" s="772">
        <f t="shared" si="58"/>
        <v>2247894453.8605552</v>
      </c>
      <c r="AB51" s="772">
        <f t="shared" si="58"/>
        <v>2427824387.9804935</v>
      </c>
      <c r="AC51" s="772">
        <f t="shared" si="58"/>
        <v>2075056736.9175954</v>
      </c>
      <c r="AD51" s="772">
        <f t="shared" si="58"/>
        <v>2124051164.447263</v>
      </c>
      <c r="AE51" s="772">
        <f t="shared" si="58"/>
        <v>1865333448.530966</v>
      </c>
      <c r="AF51" s="772">
        <f t="shared" si="58"/>
        <v>2230767694.3790202</v>
      </c>
      <c r="AG51" s="772">
        <f t="shared" si="58"/>
        <v>2328676339.5763512</v>
      </c>
      <c r="AH51" s="772">
        <f t="shared" si="58"/>
        <v>2864505268.7290521</v>
      </c>
      <c r="AI51" s="772">
        <f t="shared" si="58"/>
        <v>2892291279.1768579</v>
      </c>
      <c r="AJ51" s="772">
        <f t="shared" si="58"/>
        <v>2829679057.2968569</v>
      </c>
      <c r="AK51" s="772">
        <f t="shared" si="58"/>
        <v>2919440646.442915</v>
      </c>
      <c r="AL51" s="772">
        <f t="shared" si="58"/>
        <v>2601813315.0496726</v>
      </c>
      <c r="AM51" s="772">
        <f t="shared" si="58"/>
        <v>2443057875.6454391</v>
      </c>
      <c r="AN51" s="772">
        <f t="shared" si="58"/>
        <v>2441109663.6244226</v>
      </c>
      <c r="AO51" s="772">
        <f t="shared" si="58"/>
        <v>2455198357.4750128</v>
      </c>
      <c r="AP51" s="772">
        <f t="shared" si="58"/>
        <v>2211967058.0140114</v>
      </c>
      <c r="AQ51" s="772">
        <f t="shared" si="58"/>
        <v>3231264596.1439748</v>
      </c>
      <c r="AR51" s="772">
        <f t="shared" si="58"/>
        <v>3068597789.5038805</v>
      </c>
      <c r="AS51" s="772">
        <f t="shared" si="58"/>
        <v>2978248949.2179251</v>
      </c>
      <c r="AT51" s="772">
        <f t="shared" si="58"/>
        <v>3097555758.1031346</v>
      </c>
      <c r="AU51" s="658">
        <f t="shared" si="58"/>
        <v>2859425205.4915657</v>
      </c>
      <c r="AV51" s="658">
        <f t="shared" si="58"/>
        <v>2911789520.706151</v>
      </c>
      <c r="AW51" s="658">
        <f t="shared" si="58"/>
        <v>2993344230.4775147</v>
      </c>
      <c r="AX51" s="658">
        <f t="shared" si="58"/>
        <v>3323704234.9436264</v>
      </c>
      <c r="AY51" s="658">
        <f t="shared" si="58"/>
        <v>3394101976.1147513</v>
      </c>
      <c r="AZ51" s="658">
        <f t="shared" si="58"/>
        <v>3509715948.1301737</v>
      </c>
      <c r="BA51" s="658">
        <f t="shared" si="58"/>
        <v>3639573341.0752177</v>
      </c>
      <c r="BB51" s="658">
        <f t="shared" si="58"/>
        <v>3890692693.4882402</v>
      </c>
      <c r="BC51" s="658">
        <f t="shared" si="58"/>
        <v>4071044727.8123894</v>
      </c>
      <c r="BD51" s="658">
        <f t="shared" si="58"/>
        <v>3076610294.6793108</v>
      </c>
      <c r="BE51" s="658">
        <f t="shared" si="58"/>
        <v>2590180220.8867836</v>
      </c>
      <c r="BF51" s="658">
        <f t="shared" si="58"/>
        <v>2602321828.9666276</v>
      </c>
      <c r="BG51" s="658">
        <f t="shared" si="58"/>
        <v>2839128737.5446415</v>
      </c>
      <c r="BH51" s="658">
        <f t="shared" si="58"/>
        <v>3002738999.3044791</v>
      </c>
      <c r="BI51" s="658">
        <f t="shared" si="58"/>
        <v>3218355934.8250585</v>
      </c>
      <c r="BJ51" s="658">
        <f t="shared" si="58"/>
        <v>3210020584.3042979</v>
      </c>
      <c r="BK51" s="658">
        <f t="shared" si="58"/>
        <v>2634321263.1969767</v>
      </c>
      <c r="BL51" s="658">
        <f t="shared" si="58"/>
        <v>2643729703.7199879</v>
      </c>
      <c r="BM51" s="658">
        <f t="shared" si="58"/>
        <v>2540999583.3432732</v>
      </c>
      <c r="BN51" s="658">
        <f t="shared" si="58"/>
        <v>2581255435.6023235</v>
      </c>
      <c r="BO51" s="658">
        <f t="shared" si="58"/>
        <v>2832795407.6365857</v>
      </c>
      <c r="BP51" s="658">
        <f t="shared" si="58"/>
        <v>2858375743.1174827</v>
      </c>
      <c r="BQ51" s="658">
        <f t="shared" si="58"/>
        <v>3044001011.9146447</v>
      </c>
      <c r="BR51" s="658">
        <f t="shared" si="58"/>
        <v>3211323291.6920729</v>
      </c>
      <c r="BS51" s="658">
        <f t="shared" ref="BS51:CL51" si="59">$CO$5*BS46+BS47*$CP$5+BS48*$CQ$5+BS49*$CR$5</f>
        <v>2879729494.1890535</v>
      </c>
      <c r="BT51" s="658">
        <f t="shared" si="59"/>
        <v>2090239899.9455748</v>
      </c>
      <c r="BU51" s="658">
        <f t="shared" si="59"/>
        <v>2820666461.0852084</v>
      </c>
      <c r="BV51" s="658">
        <f t="shared" si="59"/>
        <v>2727677481.1017714</v>
      </c>
      <c r="BW51" s="658">
        <f t="shared" si="59"/>
        <v>2963422849.5365362</v>
      </c>
      <c r="BX51" s="658">
        <f t="shared" si="59"/>
        <v>2339920237.2752762</v>
      </c>
      <c r="BY51" s="658">
        <f t="shared" si="59"/>
        <v>2364527206.00071</v>
      </c>
      <c r="BZ51" s="658">
        <f t="shared" si="59"/>
        <v>2288372653.5340338</v>
      </c>
      <c r="CA51" s="658">
        <f t="shared" si="59"/>
        <v>2036713290.0276623</v>
      </c>
      <c r="CB51" s="658">
        <f t="shared" si="59"/>
        <v>2403530515.2202134</v>
      </c>
      <c r="CC51" s="658">
        <f t="shared" si="59"/>
        <v>2673093336.5252085</v>
      </c>
      <c r="CD51" s="658">
        <f t="shared" si="59"/>
        <v>3097120900.0059996</v>
      </c>
      <c r="CE51" s="658">
        <f t="shared" si="59"/>
        <v>3409882121.8589988</v>
      </c>
      <c r="CF51" s="658">
        <f t="shared" si="59"/>
        <v>3603283031.9485068</v>
      </c>
      <c r="CG51" s="658">
        <f t="shared" si="59"/>
        <v>3398178088.1751385</v>
      </c>
      <c r="CH51" s="658">
        <f t="shared" si="59"/>
        <v>3387163892.5529137</v>
      </c>
      <c r="CI51" s="658">
        <f t="shared" si="59"/>
        <v>3660075582.6506376</v>
      </c>
      <c r="CJ51" s="658">
        <f t="shared" si="59"/>
        <v>4020706564.4770246</v>
      </c>
      <c r="CK51" s="658">
        <f t="shared" si="59"/>
        <v>3982795340.7170029</v>
      </c>
      <c r="CL51" s="665">
        <f t="shared" si="59"/>
        <v>4053475486.6312051</v>
      </c>
      <c r="CM51" s="642">
        <f t="shared" si="0"/>
        <v>2808688379.9901977</v>
      </c>
      <c r="CN51" s="245"/>
      <c r="CO51" s="245"/>
      <c r="CP51" s="245"/>
      <c r="CQ51" s="245"/>
      <c r="CR51" s="245"/>
      <c r="CS51" s="245"/>
      <c r="CT51" s="245"/>
      <c r="CU51" s="245"/>
      <c r="CV51" s="245"/>
      <c r="CW51" s="245"/>
      <c r="CX51" s="245"/>
      <c r="CY51" s="245"/>
      <c r="CZ51" s="245"/>
      <c r="DA51" s="245"/>
      <c r="DB51" s="245"/>
      <c r="DC51" s="245"/>
      <c r="DD51" s="245"/>
      <c r="DE51" s="245"/>
      <c r="DF51" s="245"/>
      <c r="DG51" s="245"/>
      <c r="DH51" s="245"/>
      <c r="DI51" s="245"/>
      <c r="DJ51" s="245"/>
      <c r="DK51" s="245"/>
      <c r="DL51" s="245"/>
      <c r="DM51" s="245"/>
      <c r="DN51" s="245"/>
      <c r="DO51" s="245"/>
      <c r="DP51" s="245"/>
      <c r="DQ51" s="245"/>
      <c r="DR51" s="245"/>
      <c r="DS51" s="245"/>
      <c r="DT51" s="245"/>
      <c r="DU51" s="245"/>
      <c r="DV51" s="245"/>
      <c r="DW51" s="245"/>
      <c r="DX51" s="245"/>
      <c r="DY51" s="245"/>
      <c r="DZ51" s="245"/>
      <c r="EA51" s="245"/>
      <c r="EB51" s="245"/>
      <c r="EC51" s="245"/>
      <c r="ED51" s="245"/>
      <c r="EE51" s="245"/>
      <c r="EF51" s="245"/>
      <c r="EG51" s="245"/>
      <c r="EH51" s="245"/>
      <c r="EI51" s="245"/>
      <c r="EJ51" s="245"/>
      <c r="EK51" s="245"/>
      <c r="EL51" s="245"/>
      <c r="EM51" s="245"/>
      <c r="EN51" s="245"/>
      <c r="EO51" s="245"/>
      <c r="EP51" s="245"/>
      <c r="EQ51" s="245"/>
      <c r="ER51" s="245"/>
      <c r="ES51" s="245"/>
      <c r="ET51" s="245"/>
      <c r="EU51" s="245"/>
      <c r="EV51" s="245"/>
      <c r="EW51" s="245"/>
      <c r="EX51" s="245"/>
      <c r="EY51" s="245"/>
      <c r="EZ51" s="245"/>
      <c r="FA51" s="245"/>
      <c r="FB51" s="245"/>
      <c r="FC51" s="245"/>
      <c r="FD51" s="245"/>
      <c r="FE51" s="245"/>
      <c r="FF51" s="245"/>
      <c r="FG51" s="245"/>
      <c r="FH51" s="245"/>
      <c r="FI51" s="245"/>
      <c r="FJ51" s="245"/>
      <c r="FK51" s="245"/>
      <c r="FL51" s="245"/>
      <c r="FM51" s="245"/>
      <c r="FN51" s="245"/>
      <c r="FO51" s="245"/>
      <c r="FP51" s="245"/>
      <c r="FQ51" s="245"/>
      <c r="FR51" s="245"/>
      <c r="FS51" s="245"/>
      <c r="FT51" s="245"/>
      <c r="FU51" s="245"/>
      <c r="FV51" s="245"/>
    </row>
    <row r="52" spans="1:178" s="314" customFormat="1">
      <c r="A52" s="770" t="s">
        <v>337</v>
      </c>
      <c r="B52" s="771" t="s">
        <v>312</v>
      </c>
      <c r="C52" s="770"/>
      <c r="D52" s="770"/>
      <c r="E52" s="765"/>
      <c r="F52" s="665" t="s">
        <v>338</v>
      </c>
      <c r="G52" s="773">
        <f t="shared" ref="G52:BR52" si="60">G50/(G2*G12+G13*G3+G4*G14+G15*G5)</f>
        <v>0.6586595017800071</v>
      </c>
      <c r="H52" s="773">
        <f t="shared" si="60"/>
        <v>0.65712406736702123</v>
      </c>
      <c r="I52" s="773">
        <f t="shared" si="60"/>
        <v>0.65223076883229714</v>
      </c>
      <c r="J52" s="773">
        <f t="shared" si="60"/>
        <v>0.65041667349682175</v>
      </c>
      <c r="K52" s="773">
        <f t="shared" si="60"/>
        <v>0.65142092602490576</v>
      </c>
      <c r="L52" s="773">
        <f t="shared" si="60"/>
        <v>0.65138262539506686</v>
      </c>
      <c r="M52" s="773">
        <f t="shared" si="60"/>
        <v>0.65098191826095675</v>
      </c>
      <c r="N52" s="773">
        <f t="shared" si="60"/>
        <v>0.65080451918485382</v>
      </c>
      <c r="O52" s="773">
        <f t="shared" si="60"/>
        <v>0.65052109106084011</v>
      </c>
      <c r="P52" s="773">
        <f t="shared" si="60"/>
        <v>0.6504094365665618</v>
      </c>
      <c r="Q52" s="773">
        <f t="shared" si="60"/>
        <v>0.65017324147554079</v>
      </c>
      <c r="R52" s="773">
        <f t="shared" si="60"/>
        <v>0.65038280380398017</v>
      </c>
      <c r="S52" s="773">
        <f t="shared" si="60"/>
        <v>0.65183801546829023</v>
      </c>
      <c r="T52" s="773">
        <f t="shared" si="60"/>
        <v>0.64938711208129474</v>
      </c>
      <c r="U52" s="773">
        <f t="shared" si="60"/>
        <v>0.6567253536965928</v>
      </c>
      <c r="V52" s="773">
        <f t="shared" si="60"/>
        <v>0.65993143801841603</v>
      </c>
      <c r="W52" s="773">
        <f t="shared" si="60"/>
        <v>0.67282547710726459</v>
      </c>
      <c r="X52" s="773">
        <f t="shared" si="60"/>
        <v>0.65771525475316028</v>
      </c>
      <c r="Y52" s="773">
        <f t="shared" si="60"/>
        <v>0.63581547252246318</v>
      </c>
      <c r="Z52" s="773">
        <f t="shared" si="60"/>
        <v>0.63822912451797154</v>
      </c>
      <c r="AA52" s="773">
        <f t="shared" si="60"/>
        <v>0.63789785423293921</v>
      </c>
      <c r="AB52" s="773">
        <f t="shared" si="60"/>
        <v>0.63458914744123951</v>
      </c>
      <c r="AC52" s="773">
        <f t="shared" si="60"/>
        <v>0.64623315752864818</v>
      </c>
      <c r="AD52" s="773">
        <f t="shared" si="60"/>
        <v>0.64240576594232157</v>
      </c>
      <c r="AE52" s="773">
        <f t="shared" si="60"/>
        <v>0.63914133921741223</v>
      </c>
      <c r="AF52" s="773">
        <f t="shared" si="60"/>
        <v>0.64367891918968145</v>
      </c>
      <c r="AG52" s="773">
        <f t="shared" si="60"/>
        <v>0.64301759515943624</v>
      </c>
      <c r="AH52" s="773">
        <f t="shared" si="60"/>
        <v>0.63920508269247467</v>
      </c>
      <c r="AI52" s="773">
        <f t="shared" si="60"/>
        <v>0.64253622699882873</v>
      </c>
      <c r="AJ52" s="773">
        <f t="shared" si="60"/>
        <v>0.65344480754531842</v>
      </c>
      <c r="AK52" s="773">
        <f t="shared" si="60"/>
        <v>0.6531715911235132</v>
      </c>
      <c r="AL52" s="773">
        <f t="shared" si="60"/>
        <v>0.65147771393032183</v>
      </c>
      <c r="AM52" s="773">
        <f t="shared" si="60"/>
        <v>0.65190538510313512</v>
      </c>
      <c r="AN52" s="773">
        <f t="shared" si="60"/>
        <v>0.6534371591323247</v>
      </c>
      <c r="AO52" s="773">
        <f t="shared" si="60"/>
        <v>0.63949754606863618</v>
      </c>
      <c r="AP52" s="773">
        <f t="shared" si="60"/>
        <v>0.65118242107515956</v>
      </c>
      <c r="AQ52" s="773">
        <f t="shared" si="60"/>
        <v>0.65659336386985212</v>
      </c>
      <c r="AR52" s="773">
        <f t="shared" si="60"/>
        <v>0.66081129162994601</v>
      </c>
      <c r="AS52" s="773">
        <f t="shared" si="60"/>
        <v>0.66442575727712672</v>
      </c>
      <c r="AT52" s="773">
        <f t="shared" si="60"/>
        <v>0.6601982942622302</v>
      </c>
      <c r="AU52" s="774">
        <f t="shared" si="60"/>
        <v>0.66406034938526171</v>
      </c>
      <c r="AV52" s="774">
        <f t="shared" si="60"/>
        <v>0.67100392828320343</v>
      </c>
      <c r="AW52" s="774">
        <f t="shared" si="60"/>
        <v>0.66764859296007706</v>
      </c>
      <c r="AX52" s="774">
        <f t="shared" si="60"/>
        <v>0.64948903271352698</v>
      </c>
      <c r="AY52" s="774">
        <f t="shared" si="60"/>
        <v>0.66551401230246898</v>
      </c>
      <c r="AZ52" s="774">
        <f t="shared" si="60"/>
        <v>0.66975940779057053</v>
      </c>
      <c r="BA52" s="774">
        <f t="shared" si="60"/>
        <v>0.66986404596142413</v>
      </c>
      <c r="BB52" s="774">
        <f t="shared" si="60"/>
        <v>0.66658926731052981</v>
      </c>
      <c r="BC52" s="774">
        <f t="shared" si="60"/>
        <v>0.64320400495802588</v>
      </c>
      <c r="BD52" s="774">
        <f t="shared" si="60"/>
        <v>0.65097359504704444</v>
      </c>
      <c r="BE52" s="774">
        <f t="shared" si="60"/>
        <v>0.65822267517672617</v>
      </c>
      <c r="BF52" s="774">
        <f t="shared" si="60"/>
        <v>0.65871465321316647</v>
      </c>
      <c r="BG52" s="774">
        <f t="shared" si="60"/>
        <v>0.65251471121750626</v>
      </c>
      <c r="BH52" s="774">
        <f t="shared" si="60"/>
        <v>0.6505425849488391</v>
      </c>
      <c r="BI52" s="774">
        <f t="shared" si="60"/>
        <v>0.64951593011423725</v>
      </c>
      <c r="BJ52" s="774">
        <f t="shared" si="60"/>
        <v>0.64987514992559436</v>
      </c>
      <c r="BK52" s="774">
        <f t="shared" si="60"/>
        <v>0.6595174439824516</v>
      </c>
      <c r="BL52" s="774">
        <f t="shared" si="60"/>
        <v>0.65772630857531855</v>
      </c>
      <c r="BM52" s="774">
        <f t="shared" si="60"/>
        <v>0.66207265205821386</v>
      </c>
      <c r="BN52" s="774">
        <f t="shared" si="60"/>
        <v>0.65799425056206817</v>
      </c>
      <c r="BO52" s="774">
        <f t="shared" si="60"/>
        <v>0.65120583915582098</v>
      </c>
      <c r="BP52" s="774">
        <f t="shared" si="60"/>
        <v>0.65108615198771391</v>
      </c>
      <c r="BQ52" s="774">
        <f t="shared" si="60"/>
        <v>0.64837338240537778</v>
      </c>
      <c r="BR52" s="774">
        <f t="shared" si="60"/>
        <v>0.65025595342437725</v>
      </c>
      <c r="BS52" s="774">
        <f t="shared" ref="BS52:CL52" si="61">BS50/(BS2*BS12+BS13*BS3+BS4*BS14+BS15*BS5)</f>
        <v>0.65565083006103797</v>
      </c>
      <c r="BT52" s="774">
        <f t="shared" si="61"/>
        <v>0.67385143127340419</v>
      </c>
      <c r="BU52" s="774">
        <f t="shared" si="61"/>
        <v>0.64057535358646256</v>
      </c>
      <c r="BV52" s="774">
        <f t="shared" si="61"/>
        <v>0.64716235502287078</v>
      </c>
      <c r="BW52" s="774">
        <f t="shared" si="61"/>
        <v>0.64389627804509852</v>
      </c>
      <c r="BX52" s="774">
        <f t="shared" si="61"/>
        <v>0.65695636080346631</v>
      </c>
      <c r="BY52" s="774">
        <f t="shared" si="61"/>
        <v>0.65744597226736012</v>
      </c>
      <c r="BZ52" s="774">
        <f t="shared" si="61"/>
        <v>0.66102442259413441</v>
      </c>
      <c r="CA52" s="774">
        <f t="shared" si="61"/>
        <v>0.6620401365503702</v>
      </c>
      <c r="CB52" s="774">
        <f t="shared" si="61"/>
        <v>0.65251743546439889</v>
      </c>
      <c r="CC52" s="774">
        <f t="shared" si="61"/>
        <v>0.64950020596035085</v>
      </c>
      <c r="CD52" s="774">
        <f t="shared" si="61"/>
        <v>0.64312099524170241</v>
      </c>
      <c r="CE52" s="774">
        <f t="shared" si="61"/>
        <v>0.64068039606460325</v>
      </c>
      <c r="CF52" s="774">
        <f t="shared" si="61"/>
        <v>0.6386972439946984</v>
      </c>
      <c r="CG52" s="774">
        <f t="shared" si="61"/>
        <v>0.63944702601424341</v>
      </c>
      <c r="CH52" s="774">
        <f t="shared" si="61"/>
        <v>0.63772100363560558</v>
      </c>
      <c r="CI52" s="774">
        <f t="shared" si="61"/>
        <v>0.63487381043748214</v>
      </c>
      <c r="CJ52" s="774">
        <f t="shared" si="61"/>
        <v>0.63355079112137203</v>
      </c>
      <c r="CK52" s="774">
        <f t="shared" si="61"/>
        <v>0.63394176030552385</v>
      </c>
      <c r="CL52" s="775">
        <f t="shared" si="61"/>
        <v>0.63320643932299503</v>
      </c>
      <c r="CM52" s="776">
        <f t="shared" si="0"/>
        <v>0.65146915966739971</v>
      </c>
      <c r="CN52" s="765"/>
      <c r="CO52" s="765"/>
      <c r="CP52" s="765"/>
      <c r="CQ52" s="765"/>
      <c r="CR52" s="765"/>
      <c r="CS52" s="765"/>
      <c r="CT52" s="765"/>
      <c r="CU52" s="765"/>
      <c r="CV52" s="765"/>
      <c r="CW52" s="765"/>
      <c r="CX52" s="765"/>
      <c r="CY52" s="765"/>
      <c r="CZ52" s="765"/>
      <c r="DA52" s="765"/>
      <c r="DB52" s="765"/>
      <c r="DC52" s="765"/>
      <c r="DD52" s="765"/>
      <c r="DE52" s="765"/>
      <c r="DF52" s="765"/>
      <c r="DG52" s="765"/>
      <c r="DH52" s="765"/>
      <c r="DI52" s="765"/>
      <c r="DJ52" s="765"/>
      <c r="DK52" s="765"/>
      <c r="DL52" s="765"/>
      <c r="DM52" s="765"/>
      <c r="DN52" s="765"/>
      <c r="DO52" s="765"/>
      <c r="DP52" s="765"/>
      <c r="DQ52" s="765"/>
      <c r="DR52" s="765"/>
      <c r="DS52" s="765"/>
      <c r="DT52" s="765"/>
      <c r="DU52" s="765"/>
      <c r="DV52" s="765"/>
      <c r="DW52" s="765"/>
      <c r="DX52" s="765"/>
      <c r="DY52" s="765"/>
      <c r="DZ52" s="765"/>
      <c r="EA52" s="765"/>
      <c r="EB52" s="765"/>
      <c r="EC52" s="765"/>
      <c r="ED52" s="765"/>
      <c r="EE52" s="765"/>
      <c r="EF52" s="765"/>
      <c r="EG52" s="765"/>
      <c r="EH52" s="765"/>
      <c r="EI52" s="765"/>
      <c r="EJ52" s="765"/>
      <c r="EK52" s="765"/>
      <c r="EL52" s="765"/>
      <c r="EM52" s="765"/>
      <c r="EN52" s="765"/>
      <c r="EO52" s="765"/>
      <c r="EP52" s="765"/>
      <c r="EQ52" s="765"/>
      <c r="ER52" s="765"/>
      <c r="ES52" s="765"/>
      <c r="ET52" s="765"/>
      <c r="EU52" s="765"/>
      <c r="EV52" s="765"/>
      <c r="EW52" s="765"/>
      <c r="EX52" s="765"/>
      <c r="EY52" s="765"/>
      <c r="EZ52" s="765"/>
      <c r="FA52" s="765"/>
      <c r="FB52" s="765"/>
      <c r="FC52" s="765"/>
      <c r="FD52" s="765"/>
      <c r="FE52" s="765"/>
      <c r="FF52" s="765"/>
      <c r="FG52" s="765"/>
      <c r="FH52" s="765"/>
      <c r="FI52" s="765"/>
      <c r="FJ52" s="765"/>
      <c r="FK52" s="765"/>
      <c r="FL52" s="765"/>
      <c r="FM52" s="765"/>
      <c r="FN52" s="765"/>
      <c r="FO52" s="765"/>
      <c r="FP52" s="765"/>
      <c r="FQ52" s="765"/>
      <c r="FR52" s="765"/>
      <c r="FS52" s="765"/>
      <c r="FT52" s="765"/>
      <c r="FU52" s="765"/>
      <c r="FV52" s="765"/>
    </row>
    <row r="53" spans="1:178">
      <c r="A53" s="770" t="s">
        <v>337</v>
      </c>
      <c r="B53" s="771" t="s">
        <v>312</v>
      </c>
      <c r="C53" s="640"/>
      <c r="D53" s="640"/>
      <c r="E53" s="245"/>
      <c r="F53" s="665" t="s">
        <v>339</v>
      </c>
      <c r="G53" s="773">
        <f t="shared" ref="G53:BR53" si="62">G51/(G2*G12+G13*G3+G4*G14+G15*G5)</f>
        <v>0.34134049821999285</v>
      </c>
      <c r="H53" s="773">
        <f t="shared" si="62"/>
        <v>0.34287593263297877</v>
      </c>
      <c r="I53" s="773">
        <f t="shared" si="62"/>
        <v>0.34776923116770303</v>
      </c>
      <c r="J53" s="773">
        <f t="shared" si="62"/>
        <v>0.3495833265031783</v>
      </c>
      <c r="K53" s="773">
        <f t="shared" si="62"/>
        <v>0.34857907397509424</v>
      </c>
      <c r="L53" s="773">
        <f t="shared" si="62"/>
        <v>0.34861737460493308</v>
      </c>
      <c r="M53" s="773">
        <f t="shared" si="62"/>
        <v>0.3490180817390432</v>
      </c>
      <c r="N53" s="773">
        <f t="shared" si="62"/>
        <v>0.34919548081514629</v>
      </c>
      <c r="O53" s="773">
        <f t="shared" si="62"/>
        <v>0.34947890893915978</v>
      </c>
      <c r="P53" s="773">
        <f t="shared" si="62"/>
        <v>0.34959056343343836</v>
      </c>
      <c r="Q53" s="773">
        <f t="shared" si="62"/>
        <v>0.34982675852445916</v>
      </c>
      <c r="R53" s="773">
        <f t="shared" si="62"/>
        <v>0.34961719619601994</v>
      </c>
      <c r="S53" s="773">
        <f t="shared" si="62"/>
        <v>0.34816198453170977</v>
      </c>
      <c r="T53" s="773">
        <f t="shared" si="62"/>
        <v>0.35061288791870537</v>
      </c>
      <c r="U53" s="773">
        <f t="shared" si="62"/>
        <v>0.34327464630340715</v>
      </c>
      <c r="V53" s="773">
        <f t="shared" si="62"/>
        <v>0.34006856198158375</v>
      </c>
      <c r="W53" s="773">
        <f t="shared" si="62"/>
        <v>0.3271745228927353</v>
      </c>
      <c r="X53" s="773">
        <f t="shared" si="62"/>
        <v>0.34228474524683977</v>
      </c>
      <c r="Y53" s="773">
        <f t="shared" si="62"/>
        <v>0.36418452747753693</v>
      </c>
      <c r="Z53" s="773">
        <f t="shared" si="62"/>
        <v>0.36177087548202846</v>
      </c>
      <c r="AA53" s="773">
        <f t="shared" si="62"/>
        <v>0.36210214576706079</v>
      </c>
      <c r="AB53" s="773">
        <f t="shared" si="62"/>
        <v>0.36541085255876055</v>
      </c>
      <c r="AC53" s="773">
        <f t="shared" si="62"/>
        <v>0.35376684247135193</v>
      </c>
      <c r="AD53" s="773">
        <f t="shared" si="62"/>
        <v>0.35759423405767832</v>
      </c>
      <c r="AE53" s="773">
        <f t="shared" si="62"/>
        <v>0.36085866078258788</v>
      </c>
      <c r="AF53" s="773">
        <f t="shared" si="62"/>
        <v>0.35632108081031849</v>
      </c>
      <c r="AG53" s="773">
        <f t="shared" si="62"/>
        <v>0.35698240484056393</v>
      </c>
      <c r="AH53" s="773">
        <f t="shared" si="62"/>
        <v>0.36079491730752544</v>
      </c>
      <c r="AI53" s="773">
        <f t="shared" si="62"/>
        <v>0.35746377300117138</v>
      </c>
      <c r="AJ53" s="773">
        <f t="shared" si="62"/>
        <v>0.34655519245468142</v>
      </c>
      <c r="AK53" s="773">
        <f t="shared" si="62"/>
        <v>0.3468284088764868</v>
      </c>
      <c r="AL53" s="773">
        <f t="shared" si="62"/>
        <v>0.34852228606967817</v>
      </c>
      <c r="AM53" s="773">
        <f t="shared" si="62"/>
        <v>0.34809461489686488</v>
      </c>
      <c r="AN53" s="773">
        <f t="shared" si="62"/>
        <v>0.34656284086767508</v>
      </c>
      <c r="AO53" s="773">
        <f t="shared" si="62"/>
        <v>0.36050245393136365</v>
      </c>
      <c r="AP53" s="773">
        <f t="shared" si="62"/>
        <v>0.34881757892484044</v>
      </c>
      <c r="AQ53" s="773">
        <f t="shared" si="62"/>
        <v>0.34340663613014805</v>
      </c>
      <c r="AR53" s="773">
        <f t="shared" si="62"/>
        <v>0.33918870837005394</v>
      </c>
      <c r="AS53" s="773">
        <f t="shared" si="62"/>
        <v>0.33557424272287339</v>
      </c>
      <c r="AT53" s="773">
        <f t="shared" si="62"/>
        <v>0.33980170573776991</v>
      </c>
      <c r="AU53" s="774">
        <f t="shared" si="62"/>
        <v>0.33593965061473824</v>
      </c>
      <c r="AV53" s="774">
        <f t="shared" si="62"/>
        <v>0.32899607171679646</v>
      </c>
      <c r="AW53" s="774">
        <f t="shared" si="62"/>
        <v>0.33235140703992283</v>
      </c>
      <c r="AX53" s="774">
        <f t="shared" si="62"/>
        <v>0.35051096728647302</v>
      </c>
      <c r="AY53" s="774">
        <f t="shared" si="62"/>
        <v>0.33448598769753102</v>
      </c>
      <c r="AZ53" s="774">
        <f t="shared" si="62"/>
        <v>0.33024059220942947</v>
      </c>
      <c r="BA53" s="774">
        <f t="shared" si="62"/>
        <v>0.33013595403857598</v>
      </c>
      <c r="BB53" s="774">
        <f t="shared" si="62"/>
        <v>0.33341073268947025</v>
      </c>
      <c r="BC53" s="774">
        <f t="shared" si="62"/>
        <v>0.35679599504197407</v>
      </c>
      <c r="BD53" s="774">
        <f t="shared" si="62"/>
        <v>0.34902640495295567</v>
      </c>
      <c r="BE53" s="774">
        <f t="shared" si="62"/>
        <v>0.34177732482327389</v>
      </c>
      <c r="BF53" s="774">
        <f t="shared" si="62"/>
        <v>0.34128534678683364</v>
      </c>
      <c r="BG53" s="774">
        <f t="shared" si="62"/>
        <v>0.3474852887824938</v>
      </c>
      <c r="BH53" s="774">
        <f t="shared" si="62"/>
        <v>0.34945741505116107</v>
      </c>
      <c r="BI53" s="774">
        <f t="shared" si="62"/>
        <v>0.35048406988576269</v>
      </c>
      <c r="BJ53" s="774">
        <f t="shared" si="62"/>
        <v>0.35012485007440558</v>
      </c>
      <c r="BK53" s="774">
        <f t="shared" si="62"/>
        <v>0.34048255601754845</v>
      </c>
      <c r="BL53" s="774">
        <f t="shared" si="62"/>
        <v>0.34227369142468145</v>
      </c>
      <c r="BM53" s="774">
        <f t="shared" si="62"/>
        <v>0.33792734794178614</v>
      </c>
      <c r="BN53" s="774">
        <f t="shared" si="62"/>
        <v>0.34200574943793188</v>
      </c>
      <c r="BO53" s="774">
        <f t="shared" si="62"/>
        <v>0.34879416084417902</v>
      </c>
      <c r="BP53" s="774">
        <f t="shared" si="62"/>
        <v>0.34891384801228609</v>
      </c>
      <c r="BQ53" s="774">
        <f t="shared" si="62"/>
        <v>0.3516266175946221</v>
      </c>
      <c r="BR53" s="774">
        <f t="shared" si="62"/>
        <v>0.34974404657562286</v>
      </c>
      <c r="BS53" s="774">
        <f t="shared" ref="BS53:CL53" si="63">BS51/(BS2*BS12+BS13*BS3+BS4*BS14+BS15*BS5)</f>
        <v>0.34434916993896209</v>
      </c>
      <c r="BT53" s="774">
        <f t="shared" si="63"/>
        <v>0.32614856872659576</v>
      </c>
      <c r="BU53" s="774">
        <f t="shared" si="63"/>
        <v>0.35942464641353755</v>
      </c>
      <c r="BV53" s="774">
        <f t="shared" si="63"/>
        <v>0.35283764497712938</v>
      </c>
      <c r="BW53" s="774">
        <f t="shared" si="63"/>
        <v>0.35610372195490148</v>
      </c>
      <c r="BX53" s="774">
        <f t="shared" si="63"/>
        <v>0.34304363919653363</v>
      </c>
      <c r="BY53" s="774">
        <f t="shared" si="63"/>
        <v>0.34255402773263993</v>
      </c>
      <c r="BZ53" s="774">
        <f t="shared" si="63"/>
        <v>0.33897557740586576</v>
      </c>
      <c r="CA53" s="774">
        <f t="shared" si="63"/>
        <v>0.3379598634496298</v>
      </c>
      <c r="CB53" s="774">
        <f t="shared" si="63"/>
        <v>0.34748256453560095</v>
      </c>
      <c r="CC53" s="774">
        <f t="shared" si="63"/>
        <v>0.35049979403964909</v>
      </c>
      <c r="CD53" s="774">
        <f t="shared" si="63"/>
        <v>0.3568790047582977</v>
      </c>
      <c r="CE53" s="774">
        <f t="shared" si="63"/>
        <v>0.35931960393539675</v>
      </c>
      <c r="CF53" s="774">
        <f t="shared" si="63"/>
        <v>0.36130275600530171</v>
      </c>
      <c r="CG53" s="774">
        <f t="shared" si="63"/>
        <v>0.36055297398575664</v>
      </c>
      <c r="CH53" s="774">
        <f t="shared" si="63"/>
        <v>0.36227899636439442</v>
      </c>
      <c r="CI53" s="774">
        <f t="shared" si="63"/>
        <v>0.36512618956251774</v>
      </c>
      <c r="CJ53" s="774">
        <f t="shared" si="63"/>
        <v>0.36644920887862803</v>
      </c>
      <c r="CK53" s="774">
        <f t="shared" si="63"/>
        <v>0.36605823969447593</v>
      </c>
      <c r="CL53" s="775">
        <f t="shared" si="63"/>
        <v>0.36679356067700497</v>
      </c>
      <c r="CM53" s="777">
        <f t="shared" si="0"/>
        <v>0.34853084033260018</v>
      </c>
      <c r="CN53" s="245"/>
      <c r="CO53" s="245"/>
      <c r="CP53" s="245"/>
      <c r="CQ53" s="245"/>
      <c r="CR53" s="245"/>
      <c r="CS53" s="245"/>
      <c r="CT53" s="245"/>
      <c r="CU53" s="245"/>
      <c r="CV53" s="245"/>
      <c r="CW53" s="245"/>
      <c r="CX53" s="245"/>
      <c r="CY53" s="245"/>
      <c r="CZ53" s="245"/>
      <c r="DA53" s="245"/>
      <c r="DB53" s="245"/>
      <c r="DC53" s="245"/>
      <c r="DD53" s="245"/>
      <c r="DE53" s="245"/>
      <c r="DF53" s="245"/>
      <c r="DG53" s="245"/>
      <c r="DH53" s="245"/>
      <c r="DI53" s="245"/>
      <c r="DJ53" s="245"/>
      <c r="DK53" s="245"/>
      <c r="DL53" s="245"/>
      <c r="DM53" s="245"/>
      <c r="DN53" s="245"/>
      <c r="DO53" s="245"/>
      <c r="DP53" s="245"/>
      <c r="DQ53" s="245"/>
      <c r="DR53" s="245"/>
      <c r="DS53" s="245"/>
      <c r="DT53" s="245"/>
      <c r="DU53" s="245"/>
      <c r="DV53" s="245"/>
      <c r="DW53" s="245"/>
      <c r="DX53" s="245"/>
      <c r="DY53" s="245"/>
      <c r="DZ53" s="245"/>
      <c r="EA53" s="245"/>
      <c r="EB53" s="245"/>
      <c r="EC53" s="245"/>
      <c r="ED53" s="245"/>
      <c r="EE53" s="245"/>
      <c r="EF53" s="245"/>
      <c r="EG53" s="245"/>
      <c r="EH53" s="245"/>
      <c r="EI53" s="245"/>
      <c r="EJ53" s="245"/>
      <c r="EK53" s="245"/>
      <c r="EL53" s="245"/>
      <c r="EM53" s="245"/>
      <c r="EN53" s="245"/>
      <c r="EO53" s="245"/>
      <c r="EP53" s="245"/>
      <c r="EQ53" s="245"/>
      <c r="ER53" s="245"/>
      <c r="ES53" s="245"/>
      <c r="ET53" s="245"/>
      <c r="EU53" s="245"/>
      <c r="EV53" s="245"/>
      <c r="EW53" s="245"/>
      <c r="EX53" s="245"/>
      <c r="EY53" s="245"/>
      <c r="EZ53" s="245"/>
      <c r="FA53" s="245"/>
      <c r="FB53" s="245"/>
      <c r="FC53" s="245"/>
      <c r="FD53" s="245"/>
      <c r="FE53" s="245"/>
      <c r="FF53" s="245"/>
      <c r="FG53" s="245"/>
      <c r="FH53" s="245"/>
      <c r="FI53" s="245"/>
      <c r="FJ53" s="245"/>
      <c r="FK53" s="245"/>
      <c r="FL53" s="245"/>
      <c r="FM53" s="245"/>
      <c r="FN53" s="245"/>
      <c r="FO53" s="245"/>
      <c r="FP53" s="245"/>
      <c r="FQ53" s="245"/>
      <c r="FR53" s="245"/>
      <c r="FS53" s="245"/>
      <c r="FT53" s="245"/>
      <c r="FU53" s="245"/>
      <c r="FV53" s="245"/>
    </row>
    <row r="54" spans="1:178">
      <c r="A54" s="770" t="s">
        <v>340</v>
      </c>
      <c r="B54" s="771" t="s">
        <v>312</v>
      </c>
      <c r="C54" s="640" t="s">
        <v>326</v>
      </c>
      <c r="D54" s="640"/>
      <c r="E54" s="245"/>
      <c r="F54" s="665" t="s">
        <v>341</v>
      </c>
      <c r="G54" s="772">
        <f t="shared" ref="G54:BR54" si="64">G7*G18+G8*G19+G9*G20+G10*G21+G11*G22</f>
        <v>2258010360.4628057</v>
      </c>
      <c r="H54" s="772">
        <f t="shared" si="64"/>
        <v>2220749402.4020081</v>
      </c>
      <c r="I54" s="772">
        <f t="shared" si="64"/>
        <v>2232383654.3412108</v>
      </c>
      <c r="J54" s="772">
        <f t="shared" si="64"/>
        <v>2246346249.6137452</v>
      </c>
      <c r="K54" s="772">
        <f t="shared" si="64"/>
        <v>2217280829.719615</v>
      </c>
      <c r="L54" s="772">
        <f t="shared" si="64"/>
        <v>2269661089.9921498</v>
      </c>
      <c r="M54" s="772">
        <f t="shared" si="64"/>
        <v>2231143287.2646866</v>
      </c>
      <c r="N54" s="772">
        <f t="shared" si="64"/>
        <v>2281096772.0372214</v>
      </c>
      <c r="O54" s="772">
        <f t="shared" si="64"/>
        <v>2185401307.3097563</v>
      </c>
      <c r="P54" s="772">
        <f t="shared" si="64"/>
        <v>2234891427.082293</v>
      </c>
      <c r="Q54" s="772">
        <f t="shared" si="64"/>
        <v>2180080980.1881609</v>
      </c>
      <c r="R54" s="772">
        <f t="shared" si="64"/>
        <v>2078107051.2940304</v>
      </c>
      <c r="S54" s="772">
        <f t="shared" si="64"/>
        <v>2102808985.5922716</v>
      </c>
      <c r="T54" s="772">
        <f t="shared" si="64"/>
        <v>2094395049.3050249</v>
      </c>
      <c r="U54" s="772">
        <f t="shared" si="64"/>
        <v>1983615871.9781337</v>
      </c>
      <c r="V54" s="772">
        <f t="shared" si="64"/>
        <v>2060988786.6136267</v>
      </c>
      <c r="W54" s="772">
        <f t="shared" si="64"/>
        <v>1900418067.2194202</v>
      </c>
      <c r="X54" s="772">
        <f t="shared" si="64"/>
        <v>1913198835.265507</v>
      </c>
      <c r="Y54" s="772">
        <f t="shared" si="64"/>
        <v>1995151780.1449268</v>
      </c>
      <c r="Z54" s="772">
        <f t="shared" si="64"/>
        <v>1981173865.1160665</v>
      </c>
      <c r="AA54" s="772">
        <f t="shared" si="64"/>
        <v>2005437432.6743467</v>
      </c>
      <c r="AB54" s="772">
        <f t="shared" si="64"/>
        <v>2048819166.553767</v>
      </c>
      <c r="AC54" s="772">
        <f t="shared" si="64"/>
        <v>2063460704.8331866</v>
      </c>
      <c r="AD54" s="772">
        <f t="shared" si="64"/>
        <v>2013238255.1069734</v>
      </c>
      <c r="AE54" s="772">
        <f t="shared" si="64"/>
        <v>2014949005.3193402</v>
      </c>
      <c r="AF54" s="772">
        <f t="shared" si="64"/>
        <v>2013481806.7586937</v>
      </c>
      <c r="AG54" s="772">
        <f t="shared" si="64"/>
        <v>2074972717.8047805</v>
      </c>
      <c r="AH54" s="772">
        <f t="shared" si="64"/>
        <v>2140939450.7752135</v>
      </c>
      <c r="AI54" s="772">
        <f t="shared" si="64"/>
        <v>2269438795.5244002</v>
      </c>
      <c r="AJ54" s="772">
        <f t="shared" si="64"/>
        <v>2222217983.1408868</v>
      </c>
      <c r="AK54" s="772">
        <f t="shared" si="64"/>
        <v>2337004703.8041515</v>
      </c>
      <c r="AL54" s="772">
        <f t="shared" si="64"/>
        <v>2284094794.0934534</v>
      </c>
      <c r="AM54" s="772">
        <f t="shared" si="64"/>
        <v>2247657412.0904379</v>
      </c>
      <c r="AN54" s="772">
        <f t="shared" si="64"/>
        <v>2276647062.5531917</v>
      </c>
      <c r="AO54" s="772">
        <f t="shared" si="64"/>
        <v>2202986984.9608784</v>
      </c>
      <c r="AP54" s="772">
        <f t="shared" si="64"/>
        <v>2200471270.6450272</v>
      </c>
      <c r="AQ54" s="772">
        <f t="shared" si="64"/>
        <v>2237474766.8286982</v>
      </c>
      <c r="AR54" s="772">
        <f t="shared" si="64"/>
        <v>2145527384.9747849</v>
      </c>
      <c r="AS54" s="772">
        <f t="shared" si="64"/>
        <v>2250712814.7542052</v>
      </c>
      <c r="AT54" s="772">
        <f t="shared" si="64"/>
        <v>2300676160.8116002</v>
      </c>
      <c r="AU54" s="658">
        <f t="shared" si="64"/>
        <v>2451886183.1273866</v>
      </c>
      <c r="AV54" s="658">
        <f t="shared" si="64"/>
        <v>2517950508.3373866</v>
      </c>
      <c r="AW54" s="658">
        <f t="shared" si="64"/>
        <v>2557768472.2274933</v>
      </c>
      <c r="AX54" s="658">
        <f t="shared" si="64"/>
        <v>2588494479.6376667</v>
      </c>
      <c r="AY54" s="658">
        <f t="shared" si="64"/>
        <v>2996261859.1366801</v>
      </c>
      <c r="AZ54" s="658">
        <f t="shared" si="64"/>
        <v>2971445482.622427</v>
      </c>
      <c r="BA54" s="658">
        <f t="shared" si="64"/>
        <v>2974318840.3188133</v>
      </c>
      <c r="BB54" s="658">
        <f t="shared" si="64"/>
        <v>3125550351.2361999</v>
      </c>
      <c r="BC54" s="658">
        <f t="shared" si="64"/>
        <v>3068394328.99368</v>
      </c>
      <c r="BD54" s="658">
        <f t="shared" si="64"/>
        <v>2791529831.2483063</v>
      </c>
      <c r="BE54" s="658">
        <f t="shared" si="64"/>
        <v>2359796154.8733335</v>
      </c>
      <c r="BF54" s="658">
        <f t="shared" si="64"/>
        <v>2195582840.8933067</v>
      </c>
      <c r="BG54" s="658">
        <f t="shared" si="64"/>
        <v>2190283191.4180803</v>
      </c>
      <c r="BH54" s="658">
        <f t="shared" si="64"/>
        <v>2252812382.6593471</v>
      </c>
      <c r="BI54" s="658">
        <f t="shared" si="64"/>
        <v>2232716288.2701335</v>
      </c>
      <c r="BJ54" s="658">
        <f t="shared" si="64"/>
        <v>2200682916.7238803</v>
      </c>
      <c r="BK54" s="658">
        <f t="shared" si="64"/>
        <v>2261483235.9346671</v>
      </c>
      <c r="BL54" s="658">
        <f t="shared" si="64"/>
        <v>2229202840.5999999</v>
      </c>
      <c r="BM54" s="658">
        <f t="shared" si="64"/>
        <v>2339376825.4666667</v>
      </c>
      <c r="BN54" s="658">
        <f t="shared" si="64"/>
        <v>2390779042.9306669</v>
      </c>
      <c r="BO54" s="658">
        <f t="shared" si="64"/>
        <v>2516340573.738667</v>
      </c>
      <c r="BP54" s="658">
        <f t="shared" si="64"/>
        <v>2386322329.5720005</v>
      </c>
      <c r="BQ54" s="658">
        <f t="shared" si="64"/>
        <v>2163231820.5079999</v>
      </c>
      <c r="BR54" s="658">
        <f t="shared" si="64"/>
        <v>2306015347.6546664</v>
      </c>
      <c r="BS54" s="658">
        <f t="shared" ref="BS54:CL54" si="65">BS7*BS18+BS8*BS19+BS9*BS20+BS10*BS21+BS11*BS22</f>
        <v>2323892936.9759998</v>
      </c>
      <c r="BT54" s="658">
        <f t="shared" si="65"/>
        <v>2097458339.9199998</v>
      </c>
      <c r="BU54" s="658">
        <f t="shared" si="65"/>
        <v>1624241709.7333336</v>
      </c>
      <c r="BV54" s="658">
        <f t="shared" si="65"/>
        <v>1034569051.7573335</v>
      </c>
      <c r="BW54" s="658">
        <f t="shared" si="65"/>
        <v>1136510014.3</v>
      </c>
      <c r="BX54" s="658">
        <f t="shared" si="65"/>
        <v>1397502858.1853333</v>
      </c>
      <c r="BY54" s="658">
        <f t="shared" si="65"/>
        <v>1509846351.2653337</v>
      </c>
      <c r="BZ54" s="658">
        <f t="shared" si="65"/>
        <v>1669469487.8973336</v>
      </c>
      <c r="CA54" s="658">
        <f t="shared" si="65"/>
        <v>1757537748.1066666</v>
      </c>
      <c r="CB54" s="658">
        <f t="shared" si="65"/>
        <v>1943228871.2479999</v>
      </c>
      <c r="CC54" s="658">
        <f t="shared" si="65"/>
        <v>2312667422.4813337</v>
      </c>
      <c r="CD54" s="658">
        <f t="shared" si="65"/>
        <v>2359788019.6853333</v>
      </c>
      <c r="CE54" s="658">
        <f t="shared" si="65"/>
        <v>2149517166.3333335</v>
      </c>
      <c r="CF54" s="658">
        <f t="shared" si="65"/>
        <v>2312813118.5573339</v>
      </c>
      <c r="CG54" s="658">
        <f t="shared" si="65"/>
        <v>2678021835.0786667</v>
      </c>
      <c r="CH54" s="658">
        <f t="shared" si="65"/>
        <v>2654193820.3413334</v>
      </c>
      <c r="CI54" s="658">
        <f t="shared" si="65"/>
        <v>2772984620.4773331</v>
      </c>
      <c r="CJ54" s="658">
        <f t="shared" si="65"/>
        <v>2960501277.9237337</v>
      </c>
      <c r="CK54" s="658">
        <f t="shared" si="65"/>
        <v>3328318475.7601337</v>
      </c>
      <c r="CL54" s="665">
        <f t="shared" si="65"/>
        <v>3307077775.8606672</v>
      </c>
      <c r="CM54" s="644">
        <f t="shared" si="0"/>
        <v>2254946182.8210549</v>
      </c>
      <c r="CN54" s="245"/>
      <c r="CO54" s="245"/>
      <c r="CP54" s="245"/>
      <c r="CQ54" s="245"/>
      <c r="CR54" s="245"/>
      <c r="CS54" s="245"/>
      <c r="CT54" s="245"/>
      <c r="CU54" s="245"/>
      <c r="CV54" s="245"/>
      <c r="CW54" s="245"/>
      <c r="CX54" s="245"/>
      <c r="CY54" s="245"/>
      <c r="CZ54" s="245"/>
      <c r="DA54" s="245"/>
      <c r="DB54" s="245"/>
      <c r="DC54" s="245"/>
      <c r="DD54" s="245"/>
      <c r="DE54" s="245"/>
      <c r="DF54" s="245"/>
      <c r="DG54" s="245"/>
      <c r="DH54" s="245"/>
      <c r="DI54" s="245"/>
      <c r="DJ54" s="245"/>
      <c r="DK54" s="245"/>
      <c r="DL54" s="245"/>
      <c r="DM54" s="245"/>
      <c r="DN54" s="245"/>
      <c r="DO54" s="245"/>
      <c r="DP54" s="245"/>
      <c r="DQ54" s="245"/>
      <c r="DR54" s="245"/>
      <c r="DS54" s="245"/>
      <c r="DT54" s="245"/>
      <c r="DU54" s="245"/>
      <c r="DV54" s="245"/>
      <c r="DW54" s="245"/>
      <c r="DX54" s="245"/>
      <c r="DY54" s="245"/>
      <c r="DZ54" s="245"/>
      <c r="EA54" s="245"/>
      <c r="EB54" s="245"/>
      <c r="EC54" s="245"/>
      <c r="ED54" s="245"/>
      <c r="EE54" s="245"/>
      <c r="EF54" s="245"/>
      <c r="EG54" s="245"/>
      <c r="EH54" s="245"/>
      <c r="EI54" s="245"/>
      <c r="EJ54" s="245"/>
      <c r="EK54" s="245"/>
      <c r="EL54" s="245"/>
      <c r="EM54" s="245"/>
      <c r="EN54" s="245"/>
      <c r="EO54" s="245"/>
      <c r="EP54" s="245"/>
      <c r="EQ54" s="245"/>
      <c r="ER54" s="245"/>
      <c r="ES54" s="245"/>
      <c r="ET54" s="245"/>
      <c r="EU54" s="245"/>
      <c r="EV54" s="245"/>
      <c r="EW54" s="245"/>
      <c r="EX54" s="245"/>
      <c r="EY54" s="245"/>
      <c r="EZ54" s="245"/>
      <c r="FA54" s="245"/>
      <c r="FB54" s="245"/>
      <c r="FC54" s="245"/>
      <c r="FD54" s="245"/>
      <c r="FE54" s="245"/>
      <c r="FF54" s="245"/>
      <c r="FG54" s="245"/>
      <c r="FH54" s="245"/>
      <c r="FI54" s="245"/>
      <c r="FJ54" s="245"/>
      <c r="FK54" s="245"/>
      <c r="FL54" s="245"/>
      <c r="FM54" s="245"/>
      <c r="FN54" s="245"/>
      <c r="FO54" s="245"/>
      <c r="FP54" s="245"/>
      <c r="FQ54" s="245"/>
      <c r="FR54" s="245"/>
      <c r="FS54" s="245"/>
      <c r="FT54" s="245"/>
      <c r="FU54" s="245"/>
      <c r="FV54" s="245"/>
    </row>
    <row r="55" spans="1:178">
      <c r="A55" s="760" t="s">
        <v>342</v>
      </c>
      <c r="B55" s="761" t="s">
        <v>312</v>
      </c>
      <c r="C55" s="648" t="s">
        <v>326</v>
      </c>
      <c r="D55" s="648"/>
      <c r="E55" s="649"/>
      <c r="F55" s="673" t="s">
        <v>182</v>
      </c>
      <c r="G55" s="778">
        <f t="shared" ref="G55:BR55" si="66">G23*G2+G3*G24+G25*G4+G5*G26+G27*CP41</f>
        <v>1614154409.7582803</v>
      </c>
      <c r="H55" s="778">
        <f t="shared" si="66"/>
        <v>1605227644.546947</v>
      </c>
      <c r="I55" s="778">
        <f t="shared" si="66"/>
        <v>1455521419.1709471</v>
      </c>
      <c r="J55" s="778">
        <f t="shared" si="66"/>
        <v>1416236326.6356139</v>
      </c>
      <c r="K55" s="778">
        <f t="shared" si="66"/>
        <v>1402444836.1309471</v>
      </c>
      <c r="L55" s="778">
        <f t="shared" si="66"/>
        <v>1436671076.1486137</v>
      </c>
      <c r="M55" s="778">
        <f t="shared" si="66"/>
        <v>1417729153.9889472</v>
      </c>
      <c r="N55" s="778">
        <f t="shared" si="66"/>
        <v>1402531592.6926699</v>
      </c>
      <c r="O55" s="778">
        <f t="shared" si="66"/>
        <v>1361440396.8879471</v>
      </c>
      <c r="P55" s="778">
        <f t="shared" si="66"/>
        <v>1342385576.8029363</v>
      </c>
      <c r="Q55" s="778">
        <f t="shared" si="66"/>
        <v>1332398229.5665257</v>
      </c>
      <c r="R55" s="778">
        <f t="shared" si="66"/>
        <v>1283523263.203315</v>
      </c>
      <c r="S55" s="778">
        <f t="shared" si="66"/>
        <v>1311246809.9658375</v>
      </c>
      <c r="T55" s="778">
        <f t="shared" si="66"/>
        <v>1315125479.0082734</v>
      </c>
      <c r="U55" s="778">
        <f t="shared" si="66"/>
        <v>1168404765.4361293</v>
      </c>
      <c r="V55" s="778">
        <f t="shared" si="66"/>
        <v>1284053311.8626986</v>
      </c>
      <c r="W55" s="778">
        <f t="shared" si="66"/>
        <v>1085787745.9769278</v>
      </c>
      <c r="X55" s="778">
        <f t="shared" si="66"/>
        <v>1127664113.0929039</v>
      </c>
      <c r="Y55" s="778">
        <f t="shared" si="66"/>
        <v>1110633699.6847529</v>
      </c>
      <c r="Z55" s="778">
        <f t="shared" si="66"/>
        <v>1184401002.7907887</v>
      </c>
      <c r="AA55" s="778">
        <f t="shared" si="66"/>
        <v>1146633351.4024582</v>
      </c>
      <c r="AB55" s="778">
        <f t="shared" si="66"/>
        <v>1229130898.6179473</v>
      </c>
      <c r="AC55" s="778">
        <f t="shared" si="66"/>
        <v>1071896256.7805432</v>
      </c>
      <c r="AD55" s="778">
        <f t="shared" si="66"/>
        <v>1087797740.4487724</v>
      </c>
      <c r="AE55" s="778">
        <f t="shared" si="66"/>
        <v>961184422.48533499</v>
      </c>
      <c r="AF55" s="778">
        <f t="shared" si="66"/>
        <v>1144438436.1373711</v>
      </c>
      <c r="AG55" s="778">
        <f t="shared" si="66"/>
        <v>1204674053.3094268</v>
      </c>
      <c r="AH55" s="778">
        <f t="shared" si="66"/>
        <v>1451302304.9517028</v>
      </c>
      <c r="AI55" s="778">
        <f t="shared" si="66"/>
        <v>1479029699.7072253</v>
      </c>
      <c r="AJ55" s="778">
        <f t="shared" si="66"/>
        <v>1480219610.2557344</v>
      </c>
      <c r="AK55" s="778">
        <f t="shared" si="66"/>
        <v>1528406847.3109438</v>
      </c>
      <c r="AL55" s="778">
        <f t="shared" si="66"/>
        <v>1366901709.4915798</v>
      </c>
      <c r="AM55" s="778">
        <f t="shared" si="66"/>
        <v>1281309855.3567488</v>
      </c>
      <c r="AN55" s="778">
        <f t="shared" si="66"/>
        <v>1276515989.5396981</v>
      </c>
      <c r="AO55" s="778">
        <f t="shared" si="66"/>
        <v>1253243815.7281742</v>
      </c>
      <c r="AP55" s="778">
        <f t="shared" si="66"/>
        <v>1170786737.9025035</v>
      </c>
      <c r="AQ55" s="778">
        <f t="shared" si="66"/>
        <v>1693115321.9120724</v>
      </c>
      <c r="AR55" s="778">
        <f t="shared" si="66"/>
        <v>1630027889.0872085</v>
      </c>
      <c r="AS55" s="778">
        <f t="shared" si="66"/>
        <v>1597193244.4516041</v>
      </c>
      <c r="AT55" s="778">
        <f t="shared" si="66"/>
        <v>1644312714.2556798</v>
      </c>
      <c r="AU55" s="671">
        <f t="shared" si="66"/>
        <v>1519884573.3524368</v>
      </c>
      <c r="AV55" s="671">
        <f t="shared" si="66"/>
        <v>1541873304.3007467</v>
      </c>
      <c r="AW55" s="671">
        <f t="shared" si="66"/>
        <v>1575538034.9230461</v>
      </c>
      <c r="AX55" s="671">
        <f t="shared" si="66"/>
        <v>1714072371.781924</v>
      </c>
      <c r="AY55" s="671">
        <f t="shared" si="66"/>
        <v>1798681387.6840489</v>
      </c>
      <c r="AZ55" s="671">
        <f t="shared" si="66"/>
        <v>1863610111.8073301</v>
      </c>
      <c r="BA55" s="671">
        <f t="shared" si="66"/>
        <v>1934812074.9336491</v>
      </c>
      <c r="BB55" s="671">
        <f t="shared" si="66"/>
        <v>2062364388.6632142</v>
      </c>
      <c r="BC55" s="671">
        <f t="shared" si="66"/>
        <v>2118448720.4556508</v>
      </c>
      <c r="BD55" s="671">
        <f t="shared" si="66"/>
        <v>1628252312.9920225</v>
      </c>
      <c r="BE55" s="671">
        <f t="shared" si="66"/>
        <v>1373863604.4920371</v>
      </c>
      <c r="BF55" s="671">
        <f t="shared" si="66"/>
        <v>1375721465.0059133</v>
      </c>
      <c r="BG55" s="671">
        <f t="shared" si="66"/>
        <v>1483731730.908031</v>
      </c>
      <c r="BH55" s="671">
        <f t="shared" si="66"/>
        <v>1570200227.949374</v>
      </c>
      <c r="BI55" s="671">
        <f t="shared" si="66"/>
        <v>1679081115.244786</v>
      </c>
      <c r="BJ55" s="671">
        <f t="shared" si="66"/>
        <v>1680008167.728915</v>
      </c>
      <c r="BK55" s="671">
        <f t="shared" si="66"/>
        <v>1391808913.3456123</v>
      </c>
      <c r="BL55" s="671">
        <f t="shared" si="66"/>
        <v>1374422586.3775623</v>
      </c>
      <c r="BM55" s="671">
        <f t="shared" si="66"/>
        <v>1331966433.9713838</v>
      </c>
      <c r="BN55" s="671">
        <f t="shared" si="66"/>
        <v>1340038744.3756604</v>
      </c>
      <c r="BO55" s="671">
        <f t="shared" si="66"/>
        <v>1472519184.9480376</v>
      </c>
      <c r="BP55" s="671">
        <f t="shared" si="66"/>
        <v>1489664675.2485232</v>
      </c>
      <c r="BQ55" s="671">
        <f t="shared" si="66"/>
        <v>1573264766.5446064</v>
      </c>
      <c r="BR55" s="671">
        <f t="shared" si="66"/>
        <v>1701198738.3913839</v>
      </c>
      <c r="BS55" s="671">
        <f t="shared" ref="BS55:CL55" si="67">BS23*BS2+BS3*BS24+BS25*BS4+BS5*BS26+BS27*FB41</f>
        <v>1534549682.8017168</v>
      </c>
      <c r="BT55" s="671">
        <f t="shared" si="67"/>
        <v>1169308899.7940035</v>
      </c>
      <c r="BU55" s="671">
        <f t="shared" si="67"/>
        <v>1387284535.9006429</v>
      </c>
      <c r="BV55" s="671">
        <f t="shared" si="67"/>
        <v>1395877302.3535178</v>
      </c>
      <c r="BW55" s="671">
        <f t="shared" si="67"/>
        <v>1500546775.893831</v>
      </c>
      <c r="BX55" s="671">
        <f t="shared" si="67"/>
        <v>1234181042.223506</v>
      </c>
      <c r="BY55" s="671">
        <f t="shared" si="67"/>
        <v>1247697434.9741211</v>
      </c>
      <c r="BZ55" s="671">
        <f t="shared" si="67"/>
        <v>1215593511.4364529</v>
      </c>
      <c r="CA55" s="671">
        <f t="shared" si="67"/>
        <v>1106661812.1651123</v>
      </c>
      <c r="CB55" s="671">
        <f t="shared" si="67"/>
        <v>1289823587.8427467</v>
      </c>
      <c r="CC55" s="671">
        <f t="shared" si="67"/>
        <v>1414667801.8354745</v>
      </c>
      <c r="CD55" s="671">
        <f t="shared" si="67"/>
        <v>1636428471.4742761</v>
      </c>
      <c r="CE55" s="671">
        <f t="shared" si="67"/>
        <v>1797184872.6842172</v>
      </c>
      <c r="CF55" s="671">
        <f t="shared" si="67"/>
        <v>1888665055.7712564</v>
      </c>
      <c r="CG55" s="671">
        <f t="shared" si="67"/>
        <v>1776283740.570477</v>
      </c>
      <c r="CH55" s="671">
        <f t="shared" si="67"/>
        <v>1737522276.5154564</v>
      </c>
      <c r="CI55" s="671">
        <f t="shared" si="67"/>
        <v>1873092305.3109338</v>
      </c>
      <c r="CJ55" s="671">
        <f t="shared" si="67"/>
        <v>2072069835.968684</v>
      </c>
      <c r="CK55" s="671">
        <f t="shared" si="67"/>
        <v>2070695899.1789467</v>
      </c>
      <c r="CL55" s="673">
        <f t="shared" si="67"/>
        <v>2101136121.5706892</v>
      </c>
      <c r="CM55" s="644">
        <f t="shared" si="0"/>
        <v>1469047623.2640083</v>
      </c>
      <c r="CN55" s="245"/>
      <c r="CO55" s="245"/>
      <c r="CP55" s="245"/>
      <c r="CQ55" s="245"/>
      <c r="CR55" s="245"/>
      <c r="CS55" s="245"/>
      <c r="CT55" s="245"/>
      <c r="CU55" s="245"/>
      <c r="CV55" s="245"/>
      <c r="CW55" s="245"/>
      <c r="CX55" s="245"/>
      <c r="CY55" s="245"/>
      <c r="CZ55" s="245"/>
      <c r="DA55" s="245"/>
      <c r="DB55" s="245"/>
      <c r="DC55" s="245"/>
      <c r="DD55" s="245"/>
      <c r="DE55" s="245"/>
      <c r="DF55" s="245"/>
      <c r="DG55" s="245"/>
      <c r="DH55" s="245"/>
      <c r="DI55" s="245"/>
      <c r="DJ55" s="245"/>
      <c r="DK55" s="245"/>
      <c r="DL55" s="245"/>
      <c r="DM55" s="245"/>
      <c r="DN55" s="245"/>
      <c r="DO55" s="245"/>
      <c r="DP55" s="245"/>
      <c r="DQ55" s="245"/>
      <c r="DR55" s="245"/>
      <c r="DS55" s="245"/>
      <c r="DT55" s="245"/>
      <c r="DU55" s="245"/>
      <c r="DV55" s="245"/>
      <c r="DW55" s="245"/>
      <c r="DX55" s="245"/>
      <c r="DY55" s="245"/>
      <c r="DZ55" s="245"/>
      <c r="EA55" s="245"/>
      <c r="EB55" s="245"/>
      <c r="EC55" s="245"/>
      <c r="ED55" s="245"/>
      <c r="EE55" s="245"/>
      <c r="EF55" s="245"/>
      <c r="EG55" s="245"/>
      <c r="EH55" s="245"/>
      <c r="EI55" s="245"/>
      <c r="EJ55" s="245"/>
      <c r="EK55" s="245"/>
      <c r="EL55" s="245"/>
      <c r="EM55" s="245"/>
      <c r="EN55" s="245"/>
      <c r="EO55" s="245"/>
      <c r="EP55" s="245"/>
      <c r="EQ55" s="245"/>
      <c r="ER55" s="245"/>
      <c r="ES55" s="245"/>
      <c r="ET55" s="245"/>
      <c r="EU55" s="245"/>
      <c r="EV55" s="245"/>
      <c r="EW55" s="245"/>
      <c r="EX55" s="245"/>
      <c r="EY55" s="245"/>
      <c r="EZ55" s="245"/>
      <c r="FA55" s="245"/>
      <c r="FB55" s="245"/>
      <c r="FC55" s="245"/>
      <c r="FD55" s="245"/>
      <c r="FE55" s="245"/>
      <c r="FF55" s="245"/>
      <c r="FG55" s="245"/>
      <c r="FH55" s="245"/>
      <c r="FI55" s="245"/>
      <c r="FJ55" s="245"/>
      <c r="FK55" s="245"/>
      <c r="FL55" s="245"/>
      <c r="FM55" s="245"/>
      <c r="FN55" s="245"/>
      <c r="FO55" s="245"/>
      <c r="FP55" s="245"/>
      <c r="FQ55" s="245"/>
      <c r="FR55" s="245"/>
      <c r="FS55" s="245"/>
      <c r="FT55" s="245"/>
      <c r="FU55" s="245"/>
      <c r="FV55" s="245"/>
    </row>
    <row r="56" spans="1:178">
      <c r="A56" s="766" t="s">
        <v>538</v>
      </c>
      <c r="B56" s="767" t="s">
        <v>312</v>
      </c>
      <c r="C56" s="633" t="s">
        <v>344</v>
      </c>
      <c r="D56" s="1030"/>
      <c r="E56" s="653" t="s">
        <v>352</v>
      </c>
      <c r="F56" s="633" t="s">
        <v>539</v>
      </c>
      <c r="G56" s="633">
        <v>61200</v>
      </c>
      <c r="H56" s="633">
        <v>59900</v>
      </c>
      <c r="I56" s="633">
        <v>56300</v>
      </c>
      <c r="J56" s="633">
        <v>55700</v>
      </c>
      <c r="K56" s="633">
        <v>56300</v>
      </c>
      <c r="L56" s="633">
        <v>58150</v>
      </c>
      <c r="M56" s="633">
        <v>53250</v>
      </c>
      <c r="N56" s="633">
        <v>56120</v>
      </c>
      <c r="O56" s="633">
        <v>54550</v>
      </c>
      <c r="P56" s="633">
        <v>53770</v>
      </c>
      <c r="Q56" s="633">
        <v>49150</v>
      </c>
      <c r="R56" s="634">
        <v>50422</v>
      </c>
      <c r="S56" s="772">
        <v>49632</v>
      </c>
      <c r="T56" s="772">
        <v>49654</v>
      </c>
      <c r="U56" s="772">
        <v>48444</v>
      </c>
      <c r="V56" s="772">
        <v>47003</v>
      </c>
      <c r="W56" s="772">
        <v>40139</v>
      </c>
      <c r="X56" s="772">
        <v>34287</v>
      </c>
      <c r="Y56" s="772">
        <v>33539</v>
      </c>
      <c r="Z56" s="772">
        <v>36223</v>
      </c>
      <c r="AA56" s="772">
        <v>39941</v>
      </c>
      <c r="AB56" s="772">
        <v>49192</v>
      </c>
      <c r="AC56" s="772">
        <v>45859</v>
      </c>
      <c r="AD56" s="772">
        <v>44209</v>
      </c>
      <c r="AE56" s="772">
        <v>45177</v>
      </c>
      <c r="AF56" s="772">
        <v>47421</v>
      </c>
      <c r="AG56" s="772">
        <v>49984</v>
      </c>
      <c r="AH56" s="772">
        <v>56419</v>
      </c>
      <c r="AI56" s="772">
        <v>63173</v>
      </c>
      <c r="AJ56" s="772">
        <v>81400</v>
      </c>
      <c r="AK56" s="633">
        <v>69960</v>
      </c>
      <c r="AL56" s="633">
        <v>74305</v>
      </c>
      <c r="AM56" s="633">
        <v>66880</v>
      </c>
      <c r="AN56" s="633">
        <v>61600</v>
      </c>
      <c r="AO56" s="633">
        <v>63800</v>
      </c>
      <c r="AP56" s="633">
        <v>58300</v>
      </c>
      <c r="AQ56" s="633">
        <v>60500</v>
      </c>
      <c r="AR56" s="633">
        <v>61600</v>
      </c>
      <c r="AS56" s="633">
        <v>63800</v>
      </c>
      <c r="AT56" s="637">
        <v>59857.599999999999</v>
      </c>
      <c r="AU56" s="637">
        <v>61148.175000000003</v>
      </c>
      <c r="AV56" s="637">
        <v>61942.375</v>
      </c>
      <c r="AW56" s="637">
        <v>63729.324999999997</v>
      </c>
      <c r="AX56" s="637">
        <v>66608.3</v>
      </c>
      <c r="AY56" s="637">
        <v>64722.074999999997</v>
      </c>
      <c r="AZ56" s="637">
        <v>61644.55</v>
      </c>
      <c r="BA56" s="637">
        <v>57177.175000000003</v>
      </c>
      <c r="BB56" s="637">
        <v>58269.2</v>
      </c>
      <c r="BC56" s="637">
        <v>60949.625</v>
      </c>
      <c r="BD56" s="637">
        <v>60651.8</v>
      </c>
      <c r="BE56" s="637">
        <v>62587.662499999999</v>
      </c>
      <c r="BF56" s="637">
        <v>60909.914999999994</v>
      </c>
      <c r="BG56" s="637">
        <v>59480.354999999996</v>
      </c>
      <c r="BH56" s="637">
        <v>57584.202499999992</v>
      </c>
      <c r="BI56" s="637">
        <v>54526.532500000001</v>
      </c>
      <c r="BJ56" s="637">
        <v>52094.294999999998</v>
      </c>
      <c r="BK56" s="637">
        <v>48689.162499999999</v>
      </c>
      <c r="BL56" s="637">
        <v>46852.574999999997</v>
      </c>
      <c r="BM56" s="637">
        <v>48421.119999999995</v>
      </c>
      <c r="BN56" s="637">
        <v>53891.172500000001</v>
      </c>
      <c r="BO56" s="637">
        <v>54953.414999999994</v>
      </c>
      <c r="BP56" s="637">
        <v>51756.759999999995</v>
      </c>
      <c r="BQ56" s="637">
        <v>50287.490000000005</v>
      </c>
      <c r="BR56" s="637">
        <v>51697.195</v>
      </c>
      <c r="BS56" s="637">
        <v>53851.462500000001</v>
      </c>
      <c r="BT56" s="637">
        <v>47621.956250000003</v>
      </c>
      <c r="BU56" s="637">
        <v>52521.177499999991</v>
      </c>
      <c r="BV56" s="637">
        <v>53633.057499999995</v>
      </c>
      <c r="BW56" s="637">
        <v>53235.957499999997</v>
      </c>
      <c r="BX56" s="637">
        <v>56442.539999999994</v>
      </c>
      <c r="BY56" s="637">
        <v>64255.482499999998</v>
      </c>
      <c r="BZ56" s="637">
        <v>63828.6</v>
      </c>
      <c r="CA56" s="637">
        <v>65099.32</v>
      </c>
      <c r="CB56" s="637">
        <v>69417.782500000001</v>
      </c>
      <c r="CC56" s="637">
        <v>77578.1875</v>
      </c>
      <c r="CD56" s="637">
        <v>73001.609999999986</v>
      </c>
      <c r="CE56" s="637">
        <v>81950</v>
      </c>
      <c r="CF56" s="637">
        <v>84480</v>
      </c>
      <c r="CG56" s="637">
        <v>86790</v>
      </c>
      <c r="CH56" s="637">
        <v>90640</v>
      </c>
      <c r="CI56" s="637">
        <v>95370</v>
      </c>
      <c r="CJ56" s="637">
        <v>76525.350000000006</v>
      </c>
      <c r="CK56" s="637">
        <v>69617.899999999994</v>
      </c>
      <c r="CL56" s="779">
        <v>68019.05</v>
      </c>
      <c r="CM56" s="644">
        <f t="shared" si="0"/>
        <v>58590.053407738094</v>
      </c>
      <c r="CN56" s="245"/>
      <c r="CO56" s="245"/>
      <c r="CP56" s="245"/>
      <c r="CQ56" s="245"/>
      <c r="CR56" s="245"/>
      <c r="CS56" s="245"/>
      <c r="CT56" s="245"/>
      <c r="CU56" s="245"/>
      <c r="CV56" s="245"/>
      <c r="CW56" s="245"/>
      <c r="CX56" s="245"/>
      <c r="CY56" s="245"/>
      <c r="CZ56" s="245"/>
      <c r="DA56" s="245"/>
      <c r="DB56" s="245"/>
      <c r="DC56" s="245"/>
      <c r="DD56" s="245"/>
      <c r="DE56" s="245"/>
      <c r="DF56" s="245"/>
      <c r="DG56" s="245"/>
      <c r="DH56" s="245"/>
      <c r="DI56" s="245"/>
      <c r="DJ56" s="245"/>
      <c r="DK56" s="245"/>
      <c r="DL56" s="245"/>
      <c r="DM56" s="245"/>
      <c r="DN56" s="245"/>
      <c r="DO56" s="245"/>
      <c r="DP56" s="245"/>
      <c r="DQ56" s="245"/>
      <c r="DR56" s="245"/>
      <c r="DS56" s="245"/>
      <c r="DT56" s="245"/>
      <c r="DU56" s="245"/>
      <c r="DV56" s="245"/>
      <c r="DW56" s="245"/>
      <c r="DX56" s="245"/>
      <c r="DY56" s="245"/>
      <c r="DZ56" s="245"/>
      <c r="EA56" s="245"/>
      <c r="EB56" s="245"/>
      <c r="EC56" s="245"/>
      <c r="ED56" s="245"/>
      <c r="EE56" s="245"/>
      <c r="EF56" s="245"/>
      <c r="EG56" s="245"/>
      <c r="EH56" s="245"/>
      <c r="EI56" s="245"/>
      <c r="EJ56" s="245"/>
      <c r="EK56" s="245"/>
      <c r="EL56" s="245"/>
      <c r="EM56" s="245"/>
      <c r="EN56" s="245"/>
      <c r="EO56" s="245"/>
      <c r="EP56" s="245"/>
      <c r="EQ56" s="245"/>
      <c r="ER56" s="245"/>
      <c r="ES56" s="245"/>
      <c r="ET56" s="245"/>
      <c r="EU56" s="245"/>
      <c r="EV56" s="245"/>
      <c r="EW56" s="245"/>
      <c r="EX56" s="245"/>
      <c r="EY56" s="245"/>
      <c r="EZ56" s="245"/>
      <c r="FA56" s="245"/>
      <c r="FB56" s="245"/>
      <c r="FC56" s="245"/>
      <c r="FD56" s="245"/>
      <c r="FE56" s="245"/>
      <c r="FF56" s="245"/>
      <c r="FG56" s="245"/>
      <c r="FH56" s="245"/>
      <c r="FI56" s="245"/>
      <c r="FJ56" s="245"/>
      <c r="FK56" s="245"/>
      <c r="FL56" s="245"/>
      <c r="FM56" s="245"/>
      <c r="FN56" s="245"/>
      <c r="FO56" s="245"/>
      <c r="FP56" s="245"/>
      <c r="FQ56" s="245"/>
      <c r="FR56" s="245"/>
      <c r="FS56" s="245"/>
      <c r="FT56" s="245"/>
      <c r="FU56" s="245"/>
      <c r="FV56" s="245"/>
    </row>
    <row r="57" spans="1:178">
      <c r="A57" s="648" t="s">
        <v>540</v>
      </c>
      <c r="B57" s="647" t="s">
        <v>312</v>
      </c>
      <c r="C57" s="648" t="s">
        <v>344</v>
      </c>
      <c r="D57" s="1031"/>
      <c r="E57" s="669" t="s">
        <v>352</v>
      </c>
      <c r="F57" s="780" t="s">
        <v>541</v>
      </c>
      <c r="G57" s="648">
        <v>77300</v>
      </c>
      <c r="H57" s="648">
        <v>75200</v>
      </c>
      <c r="I57" s="648">
        <v>72150</v>
      </c>
      <c r="J57" s="648">
        <v>70700</v>
      </c>
      <c r="K57" s="648">
        <v>71399</v>
      </c>
      <c r="L57" s="648">
        <v>74500</v>
      </c>
      <c r="M57" s="648">
        <v>72800</v>
      </c>
      <c r="N57" s="648">
        <v>69900</v>
      </c>
      <c r="O57" s="648">
        <v>65300</v>
      </c>
      <c r="P57" s="648">
        <v>67800</v>
      </c>
      <c r="Q57" s="648">
        <v>65900</v>
      </c>
      <c r="R57" s="649">
        <v>63400</v>
      </c>
      <c r="S57" s="772">
        <v>69927</v>
      </c>
      <c r="T57" s="772">
        <v>59774</v>
      </c>
      <c r="U57" s="772">
        <v>58597</v>
      </c>
      <c r="V57" s="772">
        <v>59664</v>
      </c>
      <c r="W57" s="772">
        <v>60951</v>
      </c>
      <c r="X57" s="772">
        <v>59686</v>
      </c>
      <c r="Y57" s="772">
        <v>68849</v>
      </c>
      <c r="Z57" s="772">
        <v>67639</v>
      </c>
      <c r="AA57" s="772">
        <v>76131</v>
      </c>
      <c r="AB57" s="772">
        <v>73282</v>
      </c>
      <c r="AC57" s="772">
        <v>66891</v>
      </c>
      <c r="AD57" s="772">
        <v>68827</v>
      </c>
      <c r="AE57" s="772">
        <v>67826</v>
      </c>
      <c r="AF57" s="772">
        <v>67529</v>
      </c>
      <c r="AG57" s="772">
        <v>70037</v>
      </c>
      <c r="AH57" s="772">
        <v>61501</v>
      </c>
      <c r="AI57" s="772">
        <v>68992</v>
      </c>
      <c r="AJ57" s="772">
        <v>72501</v>
      </c>
      <c r="AK57" s="781">
        <v>68786.3</v>
      </c>
      <c r="AL57" s="781">
        <v>63184</v>
      </c>
      <c r="AM57" s="781">
        <v>61679.199999999997</v>
      </c>
      <c r="AN57" s="781">
        <v>62747.3</v>
      </c>
      <c r="AO57" s="781">
        <v>64520.5</v>
      </c>
      <c r="AP57" s="781">
        <v>63347.9</v>
      </c>
      <c r="AQ57" s="781">
        <v>70908.2</v>
      </c>
      <c r="AR57" s="781">
        <v>81957.7</v>
      </c>
      <c r="AS57" s="781">
        <v>81801.5</v>
      </c>
      <c r="AT57" s="781">
        <v>86989.1</v>
      </c>
      <c r="AU57" s="651">
        <v>86608.5</v>
      </c>
      <c r="AV57" s="651">
        <v>89952.5</v>
      </c>
      <c r="AW57" s="651">
        <v>91206.5</v>
      </c>
      <c r="AX57" s="651">
        <v>92878.5</v>
      </c>
      <c r="AY57" s="651">
        <v>88176</v>
      </c>
      <c r="AZ57" s="651">
        <v>90161.5</v>
      </c>
      <c r="BA57" s="651">
        <v>90788.5</v>
      </c>
      <c r="BB57" s="651">
        <v>91729</v>
      </c>
      <c r="BC57" s="651">
        <v>94550.5</v>
      </c>
      <c r="BD57" s="651">
        <v>98208</v>
      </c>
      <c r="BE57" s="651">
        <v>94968.5</v>
      </c>
      <c r="BF57" s="651">
        <v>90140.6</v>
      </c>
      <c r="BG57" s="651">
        <v>86817.5</v>
      </c>
      <c r="BH57" s="651">
        <v>83369</v>
      </c>
      <c r="BI57" s="651">
        <v>82533</v>
      </c>
      <c r="BJ57" s="651">
        <v>80234</v>
      </c>
      <c r="BK57" s="651">
        <v>78457.5</v>
      </c>
      <c r="BL57" s="651">
        <v>78353</v>
      </c>
      <c r="BM57" s="651">
        <v>74382</v>
      </c>
      <c r="BN57" s="651">
        <v>75395.649999999994</v>
      </c>
      <c r="BO57" s="651">
        <v>74068.5</v>
      </c>
      <c r="BP57" s="651">
        <v>70411</v>
      </c>
      <c r="BQ57" s="651">
        <v>65656.25</v>
      </c>
      <c r="BR57" s="651">
        <v>71038</v>
      </c>
      <c r="BS57" s="651">
        <v>78457.5</v>
      </c>
      <c r="BT57" s="651">
        <v>76472</v>
      </c>
      <c r="BU57" s="651">
        <v>72501</v>
      </c>
      <c r="BV57" s="651">
        <v>71665</v>
      </c>
      <c r="BW57" s="651">
        <v>72344.25</v>
      </c>
      <c r="BX57" s="651">
        <v>73755</v>
      </c>
      <c r="BY57" s="651">
        <v>73964</v>
      </c>
      <c r="BZ57" s="651">
        <v>75845</v>
      </c>
      <c r="CA57" s="651">
        <v>74800</v>
      </c>
      <c r="CB57" s="651">
        <v>75427</v>
      </c>
      <c r="CC57" s="651">
        <v>80735.600000000006</v>
      </c>
      <c r="CD57" s="651">
        <v>73838.600000000006</v>
      </c>
      <c r="CE57" s="651">
        <v>80432.55</v>
      </c>
      <c r="CF57" s="651">
        <v>100078.55</v>
      </c>
      <c r="CG57" s="651">
        <v>97455.6</v>
      </c>
      <c r="CH57" s="651">
        <v>100151.7</v>
      </c>
      <c r="CI57" s="651">
        <v>101771.45</v>
      </c>
      <c r="CJ57" s="651">
        <v>103359.85</v>
      </c>
      <c r="CK57" s="651">
        <v>106359</v>
      </c>
      <c r="CL57" s="652">
        <v>110852.5</v>
      </c>
      <c r="CM57" s="644">
        <f t="shared" si="0"/>
        <v>77038.391071428574</v>
      </c>
      <c r="CN57" s="245"/>
      <c r="CO57" s="245"/>
      <c r="CP57" s="245"/>
      <c r="CQ57" s="245"/>
      <c r="CR57" s="245"/>
      <c r="CS57" s="245"/>
      <c r="CT57" s="245"/>
      <c r="CU57" s="245"/>
      <c r="CV57" s="245"/>
      <c r="CW57" s="245"/>
      <c r="CX57" s="245"/>
      <c r="CY57" s="245"/>
      <c r="CZ57" s="245"/>
      <c r="DA57" s="245"/>
      <c r="DB57" s="245"/>
      <c r="DC57" s="245"/>
      <c r="DD57" s="245"/>
      <c r="DE57" s="245"/>
      <c r="DF57" s="245"/>
      <c r="DG57" s="245"/>
      <c r="DH57" s="245"/>
      <c r="DI57" s="245"/>
      <c r="DJ57" s="245"/>
      <c r="DK57" s="245"/>
      <c r="DL57" s="245"/>
      <c r="DM57" s="245"/>
      <c r="DN57" s="245"/>
      <c r="DO57" s="245"/>
      <c r="DP57" s="245"/>
      <c r="DQ57" s="245"/>
      <c r="DR57" s="245"/>
      <c r="DS57" s="245"/>
      <c r="DT57" s="245"/>
      <c r="DU57" s="245"/>
      <c r="DV57" s="245"/>
      <c r="DW57" s="245"/>
      <c r="DX57" s="245"/>
      <c r="DY57" s="245"/>
      <c r="DZ57" s="245"/>
      <c r="EA57" s="245"/>
      <c r="EB57" s="245"/>
      <c r="EC57" s="245"/>
      <c r="ED57" s="245"/>
      <c r="EE57" s="245"/>
      <c r="EF57" s="245"/>
      <c r="EG57" s="245"/>
      <c r="EH57" s="245"/>
      <c r="EI57" s="245"/>
      <c r="EJ57" s="245"/>
      <c r="EK57" s="245"/>
      <c r="EL57" s="245"/>
      <c r="EM57" s="245"/>
      <c r="EN57" s="245"/>
      <c r="EO57" s="245"/>
      <c r="EP57" s="245"/>
      <c r="EQ57" s="245"/>
      <c r="ER57" s="245"/>
      <c r="ES57" s="245"/>
      <c r="ET57" s="245"/>
      <c r="EU57" s="245"/>
      <c r="EV57" s="245"/>
      <c r="EW57" s="245"/>
      <c r="EX57" s="245"/>
      <c r="EY57" s="245"/>
      <c r="EZ57" s="245"/>
      <c r="FA57" s="245"/>
      <c r="FB57" s="245"/>
      <c r="FC57" s="245"/>
      <c r="FD57" s="245"/>
      <c r="FE57" s="245"/>
      <c r="FF57" s="245"/>
      <c r="FG57" s="245"/>
      <c r="FH57" s="245"/>
      <c r="FI57" s="245"/>
      <c r="FJ57" s="245"/>
      <c r="FK57" s="245"/>
      <c r="FL57" s="245"/>
      <c r="FM57" s="245"/>
      <c r="FN57" s="245"/>
      <c r="FO57" s="245"/>
      <c r="FP57" s="245"/>
      <c r="FQ57" s="245"/>
      <c r="FR57" s="245"/>
      <c r="FS57" s="245"/>
      <c r="FT57" s="245"/>
      <c r="FU57" s="245"/>
      <c r="FV57" s="245"/>
    </row>
    <row r="58" spans="1:178">
      <c r="A58" s="245"/>
      <c r="B58" s="245"/>
      <c r="C58" s="245"/>
      <c r="D58" s="245"/>
      <c r="E58" s="245"/>
      <c r="F58" s="782"/>
      <c r="G58" s="782"/>
      <c r="H58" s="782"/>
      <c r="I58" s="782"/>
      <c r="J58" s="782"/>
      <c r="K58" s="782"/>
      <c r="L58" s="782"/>
      <c r="M58" s="782"/>
      <c r="N58" s="782"/>
      <c r="O58" s="782"/>
      <c r="P58" s="782"/>
      <c r="Q58" s="782"/>
      <c r="R58" s="782"/>
      <c r="S58" s="783"/>
      <c r="T58" s="783"/>
      <c r="U58" s="783"/>
      <c r="V58" s="783"/>
      <c r="W58" s="783"/>
      <c r="X58" s="783"/>
      <c r="Y58" s="783"/>
      <c r="Z58" s="783"/>
      <c r="AA58" s="783"/>
      <c r="AB58" s="783"/>
      <c r="AC58" s="783"/>
      <c r="AD58" s="783"/>
      <c r="AE58" s="783"/>
      <c r="AF58" s="783"/>
      <c r="AG58" s="783"/>
      <c r="AH58" s="783"/>
      <c r="AI58" s="783"/>
      <c r="AJ58" s="783"/>
      <c r="AK58" s="783"/>
      <c r="AL58" s="783"/>
      <c r="AM58" s="783"/>
      <c r="AN58" s="783"/>
      <c r="AO58" s="783"/>
      <c r="AP58" s="783"/>
      <c r="AQ58" s="783"/>
      <c r="AR58" s="783"/>
      <c r="AS58" s="783"/>
      <c r="AT58" s="784">
        <v>8000</v>
      </c>
      <c r="AU58" s="783"/>
      <c r="AV58" s="783"/>
      <c r="AW58" s="783"/>
      <c r="AX58" s="783"/>
      <c r="AY58" s="783"/>
      <c r="AZ58" s="783"/>
      <c r="BA58" s="783"/>
      <c r="BB58" s="783"/>
      <c r="BC58" s="783"/>
      <c r="BD58" s="783"/>
      <c r="BE58" s="783"/>
      <c r="BF58" s="783"/>
      <c r="BG58" s="783"/>
      <c r="BH58" s="783"/>
      <c r="BI58" s="783"/>
      <c r="BJ58" s="783"/>
      <c r="BK58" s="783"/>
      <c r="BL58" s="783"/>
      <c r="BM58" s="783"/>
      <c r="BN58" s="783"/>
      <c r="BO58" s="783"/>
      <c r="BP58" s="783"/>
      <c r="BQ58" s="783"/>
      <c r="BR58" s="783"/>
      <c r="BS58" s="783"/>
      <c r="BT58" s="783"/>
      <c r="BU58" s="783"/>
      <c r="BV58" s="783"/>
      <c r="BW58" s="783"/>
      <c r="BX58" s="783"/>
      <c r="BY58" s="783"/>
      <c r="BZ58" s="783"/>
      <c r="CA58" s="783"/>
      <c r="CB58" s="783"/>
      <c r="CC58" s="783"/>
      <c r="CD58" s="783"/>
      <c r="CE58" s="783"/>
      <c r="CF58" s="783"/>
      <c r="CG58" s="783"/>
      <c r="CH58" s="783"/>
      <c r="CI58" s="783"/>
      <c r="CJ58" s="783"/>
      <c r="CK58" s="783"/>
      <c r="CL58" s="783"/>
      <c r="CM58" s="718"/>
      <c r="CN58" s="245"/>
      <c r="CO58" s="245"/>
      <c r="CP58" s="245"/>
      <c r="CQ58" s="245"/>
      <c r="CR58" s="245"/>
      <c r="CS58" s="245"/>
      <c r="CT58" s="245"/>
      <c r="CU58" s="245"/>
      <c r="CV58" s="245"/>
      <c r="CW58" s="245"/>
      <c r="CX58" s="245"/>
      <c r="CY58" s="245"/>
      <c r="CZ58" s="245"/>
      <c r="DA58" s="245"/>
      <c r="DB58" s="245"/>
      <c r="DC58" s="245"/>
      <c r="DD58" s="245"/>
      <c r="DE58" s="245"/>
      <c r="DF58" s="245"/>
      <c r="DG58" s="245"/>
      <c r="DH58" s="245"/>
      <c r="DI58" s="245"/>
      <c r="DJ58" s="245"/>
      <c r="DK58" s="245"/>
      <c r="DL58" s="245"/>
      <c r="DM58" s="245"/>
      <c r="DN58" s="245"/>
      <c r="DO58" s="245"/>
      <c r="DP58" s="245"/>
      <c r="DQ58" s="245"/>
      <c r="DR58" s="245"/>
      <c r="DS58" s="245"/>
      <c r="DT58" s="245"/>
      <c r="DU58" s="245"/>
      <c r="DV58" s="245"/>
      <c r="DW58" s="245"/>
      <c r="DX58" s="245"/>
      <c r="DY58" s="245"/>
      <c r="DZ58" s="245"/>
      <c r="EA58" s="245"/>
      <c r="EB58" s="245"/>
      <c r="EC58" s="245"/>
      <c r="ED58" s="245"/>
      <c r="EE58" s="245"/>
      <c r="EF58" s="245"/>
      <c r="EG58" s="245"/>
      <c r="EH58" s="245"/>
      <c r="EI58" s="245"/>
      <c r="EJ58" s="245"/>
      <c r="EK58" s="245"/>
      <c r="EL58" s="245"/>
      <c r="EM58" s="245"/>
      <c r="EN58" s="245"/>
      <c r="EO58" s="245"/>
      <c r="EP58" s="245"/>
      <c r="EQ58" s="245"/>
      <c r="ER58" s="245"/>
      <c r="ES58" s="245"/>
      <c r="ET58" s="245"/>
      <c r="EU58" s="245"/>
      <c r="EV58" s="245"/>
      <c r="EW58" s="245"/>
      <c r="EX58" s="245"/>
      <c r="EY58" s="245"/>
      <c r="EZ58" s="245"/>
      <c r="FA58" s="245"/>
      <c r="FB58" s="245"/>
      <c r="FC58" s="245"/>
      <c r="FD58" s="245"/>
      <c r="FE58" s="245"/>
      <c r="FF58" s="245"/>
      <c r="FG58" s="245"/>
      <c r="FH58" s="245"/>
      <c r="FI58" s="245"/>
      <c r="FJ58" s="245"/>
      <c r="FK58" s="245"/>
      <c r="FL58" s="245"/>
      <c r="FM58" s="245"/>
      <c r="FN58" s="245"/>
      <c r="FO58" s="245"/>
      <c r="FP58" s="245"/>
      <c r="FQ58" s="245"/>
      <c r="FR58" s="245"/>
      <c r="FS58" s="245"/>
      <c r="FT58" s="245"/>
      <c r="FU58" s="245"/>
      <c r="FV58" s="245"/>
    </row>
    <row r="59" spans="1:178" ht="12.75" customHeight="1">
      <c r="A59" s="1022" t="s">
        <v>542</v>
      </c>
      <c r="B59" s="1022"/>
      <c r="C59" s="1022"/>
      <c r="D59" s="1022"/>
      <c r="E59" s="1023"/>
      <c r="F59" s="785" t="s">
        <v>184</v>
      </c>
      <c r="G59" s="785"/>
      <c r="H59" s="785"/>
      <c r="I59" s="785"/>
      <c r="J59" s="785"/>
      <c r="K59" s="785"/>
      <c r="L59" s="785"/>
      <c r="M59" s="785"/>
      <c r="N59" s="785"/>
      <c r="O59" s="785"/>
      <c r="P59" s="785"/>
      <c r="Q59" s="785"/>
      <c r="R59" s="785"/>
      <c r="S59" s="786"/>
      <c r="T59" s="786"/>
      <c r="U59" s="786"/>
      <c r="V59" s="786"/>
      <c r="W59" s="786"/>
      <c r="X59" s="786"/>
      <c r="Y59" s="786"/>
      <c r="Z59" s="786"/>
      <c r="AA59" s="786"/>
      <c r="AB59" s="786"/>
      <c r="AC59" s="786"/>
      <c r="AD59" s="786"/>
      <c r="AE59" s="786"/>
      <c r="AF59" s="786"/>
      <c r="AG59" s="786"/>
      <c r="AH59" s="786"/>
      <c r="AI59" s="786"/>
      <c r="AJ59" s="786"/>
      <c r="AK59" s="786"/>
      <c r="AL59" s="786"/>
      <c r="AM59" s="786"/>
      <c r="AN59" s="786"/>
      <c r="AO59" s="786"/>
      <c r="AP59" s="786"/>
      <c r="AQ59" s="786"/>
      <c r="AR59" s="786"/>
      <c r="AS59" s="786"/>
      <c r="AT59" s="787"/>
      <c r="AU59" s="636"/>
      <c r="AV59" s="636"/>
      <c r="AW59" s="636"/>
      <c r="AX59" s="636"/>
      <c r="AY59" s="636"/>
      <c r="AZ59" s="636"/>
      <c r="BA59" s="636"/>
      <c r="BB59" s="636"/>
      <c r="BC59" s="636"/>
      <c r="BD59" s="636"/>
      <c r="BE59" s="636"/>
      <c r="BF59" s="636"/>
      <c r="BG59" s="636"/>
      <c r="BH59" s="636"/>
      <c r="BI59" s="636"/>
      <c r="BJ59" s="636"/>
      <c r="BK59" s="636"/>
      <c r="BL59" s="636"/>
      <c r="BM59" s="636"/>
      <c r="BN59" s="636"/>
      <c r="BO59" s="636"/>
      <c r="BP59" s="636"/>
      <c r="BQ59" s="636"/>
      <c r="BR59" s="636"/>
      <c r="BS59" s="636"/>
      <c r="BT59" s="636"/>
      <c r="BU59" s="636"/>
      <c r="BV59" s="636"/>
      <c r="BW59" s="636"/>
      <c r="BX59" s="636"/>
      <c r="BY59" s="636"/>
      <c r="BZ59" s="636"/>
      <c r="CA59" s="636"/>
      <c r="CB59" s="636"/>
      <c r="CC59" s="636"/>
      <c r="CD59" s="636"/>
      <c r="CE59" s="636"/>
      <c r="CF59" s="636"/>
      <c r="CG59" s="636"/>
      <c r="CH59" s="636"/>
      <c r="CI59" s="636"/>
      <c r="CJ59" s="636"/>
      <c r="CK59" s="636"/>
      <c r="CL59" s="636"/>
      <c r="CM59" s="786"/>
      <c r="CN59" s="245"/>
      <c r="CO59" s="245"/>
      <c r="CP59" s="245"/>
      <c r="CQ59" s="245"/>
      <c r="CR59" s="245"/>
      <c r="CS59" s="245"/>
      <c r="CT59" s="245"/>
      <c r="CU59" s="245"/>
      <c r="CV59" s="245"/>
      <c r="CW59" s="245"/>
      <c r="CX59" s="245"/>
      <c r="CY59" s="245"/>
      <c r="CZ59" s="245"/>
      <c r="DA59" s="245"/>
      <c r="DB59" s="245"/>
      <c r="DC59" s="245"/>
      <c r="DD59" s="245"/>
      <c r="DE59" s="245"/>
      <c r="DF59" s="245"/>
      <c r="DG59" s="245"/>
      <c r="DH59" s="245"/>
      <c r="DI59" s="245"/>
      <c r="DJ59" s="245"/>
      <c r="DK59" s="245"/>
      <c r="DL59" s="245"/>
      <c r="DM59" s="245"/>
      <c r="DN59" s="245"/>
      <c r="DO59" s="245"/>
      <c r="DP59" s="245"/>
      <c r="DQ59" s="245"/>
      <c r="DR59" s="245"/>
      <c r="DS59" s="245"/>
      <c r="DT59" s="245"/>
      <c r="DU59" s="245"/>
      <c r="DV59" s="245"/>
      <c r="DW59" s="245"/>
      <c r="DX59" s="245"/>
      <c r="DY59" s="245"/>
      <c r="DZ59" s="245"/>
      <c r="EA59" s="245"/>
      <c r="EB59" s="245"/>
      <c r="EC59" s="245"/>
      <c r="ED59" s="245"/>
      <c r="EE59" s="245"/>
      <c r="EF59" s="245"/>
      <c r="EG59" s="245"/>
      <c r="EH59" s="245"/>
      <c r="EI59" s="245"/>
      <c r="EJ59" s="245"/>
      <c r="EK59" s="245"/>
      <c r="EL59" s="245"/>
      <c r="EM59" s="245"/>
      <c r="EN59" s="245"/>
      <c r="EO59" s="245"/>
      <c r="EP59" s="245"/>
      <c r="EQ59" s="245"/>
      <c r="ER59" s="245"/>
      <c r="ES59" s="245"/>
      <c r="ET59" s="245"/>
      <c r="EU59" s="245"/>
      <c r="EV59" s="245"/>
      <c r="EW59" s="245"/>
      <c r="EX59" s="245"/>
      <c r="EY59" s="245"/>
      <c r="EZ59" s="245"/>
      <c r="FA59" s="245"/>
      <c r="FB59" s="245"/>
      <c r="FC59" s="245"/>
      <c r="FD59" s="245"/>
      <c r="FE59" s="245"/>
      <c r="FF59" s="245"/>
      <c r="FG59" s="245"/>
      <c r="FH59" s="245"/>
      <c r="FI59" s="245"/>
      <c r="FJ59" s="245"/>
      <c r="FK59" s="245"/>
      <c r="FL59" s="245"/>
      <c r="FM59" s="245"/>
      <c r="FN59" s="245"/>
      <c r="FO59" s="245"/>
      <c r="FP59" s="245"/>
      <c r="FQ59" s="245"/>
      <c r="FR59" s="245"/>
      <c r="FS59" s="245"/>
      <c r="FT59" s="245"/>
      <c r="FU59" s="245"/>
      <c r="FV59" s="245"/>
    </row>
    <row r="60" spans="1:178">
      <c r="A60" s="1022"/>
      <c r="B60" s="1022"/>
      <c r="C60" s="1022"/>
      <c r="D60" s="1022"/>
      <c r="E60" s="1023"/>
      <c r="F60" s="641" t="s">
        <v>185</v>
      </c>
      <c r="G60" s="784">
        <f t="shared" ref="G60:BR61" si="68">G42</f>
        <v>6421791.6041608481</v>
      </c>
      <c r="H60" s="784">
        <f t="shared" si="68"/>
        <v>6421791.6041608481</v>
      </c>
      <c r="I60" s="784">
        <f t="shared" si="68"/>
        <v>6421791.6041608481</v>
      </c>
      <c r="J60" s="784">
        <f t="shared" si="68"/>
        <v>6421791.6041608481</v>
      </c>
      <c r="K60" s="784">
        <f t="shared" si="68"/>
        <v>6421791.6041608481</v>
      </c>
      <c r="L60" s="784">
        <f t="shared" si="68"/>
        <v>6421791.6041608481</v>
      </c>
      <c r="M60" s="784">
        <f t="shared" si="68"/>
        <v>6421791.6041608481</v>
      </c>
      <c r="N60" s="784">
        <f t="shared" si="68"/>
        <v>6421791.6041608481</v>
      </c>
      <c r="O60" s="784">
        <f t="shared" si="68"/>
        <v>6421791.6041608481</v>
      </c>
      <c r="P60" s="784">
        <f t="shared" si="68"/>
        <v>6421791.6041608481</v>
      </c>
      <c r="Q60" s="784">
        <f t="shared" si="68"/>
        <v>6421791.6041608481</v>
      </c>
      <c r="R60" s="784">
        <f t="shared" si="68"/>
        <v>6421791.6041608481</v>
      </c>
      <c r="S60" s="784">
        <f t="shared" si="68"/>
        <v>6421791.6041608481</v>
      </c>
      <c r="T60" s="784">
        <f t="shared" si="68"/>
        <v>6421791.6041608481</v>
      </c>
      <c r="U60" s="784">
        <f t="shared" si="68"/>
        <v>6421791.6041608481</v>
      </c>
      <c r="V60" s="784">
        <f t="shared" si="68"/>
        <v>6421791.6041608481</v>
      </c>
      <c r="W60" s="784">
        <f t="shared" si="68"/>
        <v>6421791.6041608481</v>
      </c>
      <c r="X60" s="784">
        <f t="shared" si="68"/>
        <v>6421791.6041608481</v>
      </c>
      <c r="Y60" s="784">
        <f t="shared" si="68"/>
        <v>6421791.6041608481</v>
      </c>
      <c r="Z60" s="784">
        <f t="shared" si="68"/>
        <v>6421791.6041608481</v>
      </c>
      <c r="AA60" s="784">
        <f t="shared" si="68"/>
        <v>6421791.6041608481</v>
      </c>
      <c r="AB60" s="784">
        <f t="shared" si="68"/>
        <v>6421791.6041608481</v>
      </c>
      <c r="AC60" s="784">
        <f t="shared" si="68"/>
        <v>6421791.6041608481</v>
      </c>
      <c r="AD60" s="784">
        <f t="shared" si="68"/>
        <v>6421791.6041608481</v>
      </c>
      <c r="AE60" s="784">
        <f t="shared" si="68"/>
        <v>6421791.6041608481</v>
      </c>
      <c r="AF60" s="784">
        <f t="shared" si="68"/>
        <v>6421791.6041608481</v>
      </c>
      <c r="AG60" s="784">
        <f t="shared" si="68"/>
        <v>6421791.6041608481</v>
      </c>
      <c r="AH60" s="784">
        <f t="shared" si="68"/>
        <v>6421791.6041608481</v>
      </c>
      <c r="AI60" s="784">
        <f t="shared" si="68"/>
        <v>6421791.6041608481</v>
      </c>
      <c r="AJ60" s="784">
        <f t="shared" si="68"/>
        <v>6421791.6041608481</v>
      </c>
      <c r="AK60" s="784">
        <f t="shared" si="68"/>
        <v>6421791.6041608481</v>
      </c>
      <c r="AL60" s="784">
        <f t="shared" si="68"/>
        <v>6421791.6041608481</v>
      </c>
      <c r="AM60" s="784">
        <f t="shared" si="68"/>
        <v>6421791.6041608481</v>
      </c>
      <c r="AN60" s="784">
        <f t="shared" si="68"/>
        <v>6421791.6041608481</v>
      </c>
      <c r="AO60" s="784">
        <f t="shared" si="68"/>
        <v>6421791.6041608481</v>
      </c>
      <c r="AP60" s="784">
        <f t="shared" si="68"/>
        <v>6421791.6041608481</v>
      </c>
      <c r="AQ60" s="784">
        <f t="shared" si="68"/>
        <v>6421791.6041608481</v>
      </c>
      <c r="AR60" s="784">
        <f t="shared" si="68"/>
        <v>6421791.6041608481</v>
      </c>
      <c r="AS60" s="784">
        <f t="shared" si="68"/>
        <v>6421791.6041608481</v>
      </c>
      <c r="AT60" s="784">
        <f t="shared" si="68"/>
        <v>6421791.6041608481</v>
      </c>
      <c r="AU60" s="642">
        <f t="shared" si="68"/>
        <v>6421791.6041608481</v>
      </c>
      <c r="AV60" s="642">
        <f t="shared" si="68"/>
        <v>6421791.6041608481</v>
      </c>
      <c r="AW60" s="642">
        <f t="shared" si="68"/>
        <v>6421791.6041608481</v>
      </c>
      <c r="AX60" s="642">
        <f t="shared" si="68"/>
        <v>6421791.6041608481</v>
      </c>
      <c r="AY60" s="642">
        <f t="shared" si="68"/>
        <v>6421791.6041608481</v>
      </c>
      <c r="AZ60" s="642">
        <f t="shared" si="68"/>
        <v>6421791.6041608481</v>
      </c>
      <c r="BA60" s="642">
        <f t="shared" si="68"/>
        <v>6421791.6041608481</v>
      </c>
      <c r="BB60" s="642">
        <f t="shared" si="68"/>
        <v>6421791.6041608481</v>
      </c>
      <c r="BC60" s="642">
        <f t="shared" si="68"/>
        <v>6421791.6041608481</v>
      </c>
      <c r="BD60" s="642">
        <f t="shared" si="68"/>
        <v>6421791.6041608481</v>
      </c>
      <c r="BE60" s="642">
        <f t="shared" si="68"/>
        <v>6421791.6041608481</v>
      </c>
      <c r="BF60" s="642">
        <f t="shared" si="68"/>
        <v>6421791.6041608481</v>
      </c>
      <c r="BG60" s="642">
        <f t="shared" si="68"/>
        <v>6421791.6041608481</v>
      </c>
      <c r="BH60" s="642">
        <f t="shared" si="68"/>
        <v>6421791.6041608481</v>
      </c>
      <c r="BI60" s="642">
        <f t="shared" si="68"/>
        <v>6421791.6041608481</v>
      </c>
      <c r="BJ60" s="642">
        <f t="shared" si="68"/>
        <v>6421791.6041608481</v>
      </c>
      <c r="BK60" s="642">
        <f t="shared" si="68"/>
        <v>6421791.6041608481</v>
      </c>
      <c r="BL60" s="642">
        <f t="shared" si="68"/>
        <v>6421791.6041608481</v>
      </c>
      <c r="BM60" s="642">
        <f t="shared" si="68"/>
        <v>6421791.6041608481</v>
      </c>
      <c r="BN60" s="642">
        <f t="shared" si="68"/>
        <v>6421791.6041608481</v>
      </c>
      <c r="BO60" s="642">
        <f t="shared" si="68"/>
        <v>6421791.6041608481</v>
      </c>
      <c r="BP60" s="642">
        <f t="shared" si="68"/>
        <v>6421791.6041608481</v>
      </c>
      <c r="BQ60" s="642">
        <f t="shared" si="68"/>
        <v>6421791.6041608481</v>
      </c>
      <c r="BR60" s="642">
        <f t="shared" si="68"/>
        <v>6421791.6041608481</v>
      </c>
      <c r="BS60" s="642">
        <f t="shared" ref="BS60:CL61" si="69">BS42</f>
        <v>6421791.6041608481</v>
      </c>
      <c r="BT60" s="642">
        <f t="shared" si="69"/>
        <v>6421791.6041608481</v>
      </c>
      <c r="BU60" s="642">
        <f t="shared" si="69"/>
        <v>6421791.6041608481</v>
      </c>
      <c r="BV60" s="642">
        <f t="shared" si="69"/>
        <v>6421791.6041608481</v>
      </c>
      <c r="BW60" s="642">
        <f t="shared" si="69"/>
        <v>6421791.6041608481</v>
      </c>
      <c r="BX60" s="642">
        <f t="shared" si="69"/>
        <v>6421791.6041608481</v>
      </c>
      <c r="BY60" s="642">
        <f t="shared" si="69"/>
        <v>6421791.6041608481</v>
      </c>
      <c r="BZ60" s="642">
        <f t="shared" si="69"/>
        <v>6421791.6041608481</v>
      </c>
      <c r="CA60" s="642">
        <f t="shared" si="69"/>
        <v>6421791.6041608481</v>
      </c>
      <c r="CB60" s="642">
        <f t="shared" si="69"/>
        <v>6421791.6041608481</v>
      </c>
      <c r="CC60" s="642">
        <f t="shared" si="69"/>
        <v>6421791.6041608481</v>
      </c>
      <c r="CD60" s="642">
        <f t="shared" si="69"/>
        <v>6421791.6041608481</v>
      </c>
      <c r="CE60" s="642">
        <f t="shared" si="69"/>
        <v>6421791.6041608481</v>
      </c>
      <c r="CF60" s="642">
        <f t="shared" si="69"/>
        <v>6421791.6041608481</v>
      </c>
      <c r="CG60" s="642">
        <f t="shared" si="69"/>
        <v>6421791.6041608481</v>
      </c>
      <c r="CH60" s="642">
        <f t="shared" si="69"/>
        <v>6421791.6041608481</v>
      </c>
      <c r="CI60" s="642">
        <f t="shared" si="69"/>
        <v>6421791.6041608481</v>
      </c>
      <c r="CJ60" s="642">
        <f t="shared" si="69"/>
        <v>6421791.6041608481</v>
      </c>
      <c r="CK60" s="642">
        <f t="shared" si="69"/>
        <v>6421791.6041608481</v>
      </c>
      <c r="CL60" s="642">
        <f t="shared" si="69"/>
        <v>6421791.6041608481</v>
      </c>
      <c r="CM60" s="636">
        <f t="shared" ref="CM60:CM66" si="70">AVERAGE(G60:CL60)</f>
        <v>6421791.6041608471</v>
      </c>
      <c r="CN60" s="245"/>
      <c r="CO60" s="245"/>
      <c r="CP60" s="245"/>
      <c r="CQ60" s="245"/>
      <c r="CR60" s="245"/>
      <c r="CS60" s="245"/>
      <c r="CT60" s="245"/>
      <c r="CU60" s="245"/>
      <c r="CV60" s="245"/>
      <c r="CW60" s="245"/>
      <c r="CX60" s="245"/>
      <c r="CY60" s="245"/>
      <c r="CZ60" s="245"/>
      <c r="DA60" s="245"/>
      <c r="DB60" s="245"/>
      <c r="DC60" s="245"/>
      <c r="DD60" s="245"/>
      <c r="DE60" s="245"/>
      <c r="DF60" s="245"/>
      <c r="DG60" s="245"/>
      <c r="DH60" s="245"/>
      <c r="DI60" s="245"/>
      <c r="DJ60" s="245"/>
      <c r="DK60" s="245"/>
      <c r="DL60" s="245"/>
      <c r="DM60" s="245"/>
      <c r="DN60" s="245"/>
      <c r="DO60" s="245"/>
      <c r="DP60" s="245"/>
      <c r="DQ60" s="245"/>
      <c r="DR60" s="245"/>
      <c r="DS60" s="245"/>
      <c r="DT60" s="245"/>
      <c r="DU60" s="245"/>
      <c r="DV60" s="245"/>
      <c r="DW60" s="245"/>
      <c r="DX60" s="245"/>
      <c r="DY60" s="245"/>
      <c r="DZ60" s="245"/>
      <c r="EA60" s="245"/>
      <c r="EB60" s="245"/>
      <c r="EC60" s="245"/>
      <c r="ED60" s="245"/>
      <c r="EE60" s="245"/>
      <c r="EF60" s="245"/>
      <c r="EG60" s="245"/>
      <c r="EH60" s="245"/>
      <c r="EI60" s="245"/>
      <c r="EJ60" s="245"/>
      <c r="EK60" s="245"/>
      <c r="EL60" s="245"/>
      <c r="EM60" s="245"/>
      <c r="EN60" s="245"/>
      <c r="EO60" s="245"/>
      <c r="EP60" s="245"/>
      <c r="EQ60" s="245"/>
      <c r="ER60" s="245"/>
      <c r="ES60" s="245"/>
      <c r="ET60" s="245"/>
      <c r="EU60" s="245"/>
      <c r="EV60" s="245"/>
      <c r="EW60" s="245"/>
      <c r="EX60" s="245"/>
      <c r="EY60" s="245"/>
      <c r="EZ60" s="245"/>
      <c r="FA60" s="245"/>
      <c r="FB60" s="245"/>
      <c r="FC60" s="245"/>
      <c r="FD60" s="245"/>
      <c r="FE60" s="245"/>
      <c r="FF60" s="245"/>
      <c r="FG60" s="245"/>
      <c r="FH60" s="245"/>
      <c r="FI60" s="245"/>
      <c r="FJ60" s="245"/>
      <c r="FK60" s="245"/>
      <c r="FL60" s="245"/>
      <c r="FM60" s="245"/>
      <c r="FN60" s="245"/>
      <c r="FO60" s="245"/>
      <c r="FP60" s="245"/>
      <c r="FQ60" s="245"/>
      <c r="FR60" s="245"/>
      <c r="FS60" s="245"/>
      <c r="FT60" s="245"/>
      <c r="FU60" s="245"/>
      <c r="FV60" s="245"/>
    </row>
    <row r="61" spans="1:178">
      <c r="A61" s="1022"/>
      <c r="B61" s="1022"/>
      <c r="C61" s="1022"/>
      <c r="D61" s="1022"/>
      <c r="E61" s="1023"/>
      <c r="F61" s="641" t="s">
        <v>186</v>
      </c>
      <c r="G61" s="784">
        <f t="shared" si="68"/>
        <v>12613011.550000001</v>
      </c>
      <c r="H61" s="784">
        <f t="shared" si="68"/>
        <v>12613011.550000001</v>
      </c>
      <c r="I61" s="784">
        <f t="shared" si="68"/>
        <v>12613011.550000001</v>
      </c>
      <c r="J61" s="784">
        <f t="shared" si="68"/>
        <v>12613011.550000001</v>
      </c>
      <c r="K61" s="784">
        <f t="shared" si="68"/>
        <v>12613011.550000001</v>
      </c>
      <c r="L61" s="784">
        <f t="shared" si="68"/>
        <v>12613011.550000001</v>
      </c>
      <c r="M61" s="784">
        <f t="shared" si="68"/>
        <v>12613011.550000001</v>
      </c>
      <c r="N61" s="784">
        <f t="shared" si="68"/>
        <v>12613011.550000001</v>
      </c>
      <c r="O61" s="784">
        <f t="shared" si="68"/>
        <v>12613011.550000001</v>
      </c>
      <c r="P61" s="784">
        <f t="shared" si="68"/>
        <v>12613011.550000001</v>
      </c>
      <c r="Q61" s="784">
        <f t="shared" si="68"/>
        <v>12613011.550000001</v>
      </c>
      <c r="R61" s="784">
        <f t="shared" si="68"/>
        <v>12613011.550000001</v>
      </c>
      <c r="S61" s="784">
        <f t="shared" si="68"/>
        <v>12613011.550000001</v>
      </c>
      <c r="T61" s="784">
        <f t="shared" si="68"/>
        <v>12613011.550000001</v>
      </c>
      <c r="U61" s="784">
        <f t="shared" si="68"/>
        <v>12613011.550000001</v>
      </c>
      <c r="V61" s="784">
        <f t="shared" si="68"/>
        <v>12613011.550000001</v>
      </c>
      <c r="W61" s="784">
        <f t="shared" si="68"/>
        <v>12613011.550000001</v>
      </c>
      <c r="X61" s="784">
        <f t="shared" si="68"/>
        <v>12613011.550000001</v>
      </c>
      <c r="Y61" s="784">
        <f t="shared" si="68"/>
        <v>12613011.550000001</v>
      </c>
      <c r="Z61" s="784">
        <f t="shared" si="68"/>
        <v>12613011.550000001</v>
      </c>
      <c r="AA61" s="784">
        <f t="shared" si="68"/>
        <v>12613011.550000001</v>
      </c>
      <c r="AB61" s="784">
        <f t="shared" si="68"/>
        <v>12613011.550000001</v>
      </c>
      <c r="AC61" s="784">
        <f t="shared" si="68"/>
        <v>12613011.550000001</v>
      </c>
      <c r="AD61" s="784">
        <f t="shared" si="68"/>
        <v>12613011.550000001</v>
      </c>
      <c r="AE61" s="784">
        <f t="shared" si="68"/>
        <v>12613011.550000001</v>
      </c>
      <c r="AF61" s="784">
        <f t="shared" si="68"/>
        <v>12613011.550000001</v>
      </c>
      <c r="AG61" s="784">
        <f t="shared" si="68"/>
        <v>12613011.550000001</v>
      </c>
      <c r="AH61" s="784">
        <f t="shared" si="68"/>
        <v>12613011.550000001</v>
      </c>
      <c r="AI61" s="784">
        <f t="shared" si="68"/>
        <v>12613011.550000001</v>
      </c>
      <c r="AJ61" s="784">
        <f t="shared" si="68"/>
        <v>12613011.550000001</v>
      </c>
      <c r="AK61" s="784">
        <f t="shared" si="68"/>
        <v>12613011.550000001</v>
      </c>
      <c r="AL61" s="784">
        <f t="shared" si="68"/>
        <v>12613011.550000001</v>
      </c>
      <c r="AM61" s="784">
        <f t="shared" si="68"/>
        <v>12613011.550000001</v>
      </c>
      <c r="AN61" s="784">
        <f t="shared" si="68"/>
        <v>12613011.550000001</v>
      </c>
      <c r="AO61" s="784">
        <f t="shared" si="68"/>
        <v>12613011.550000001</v>
      </c>
      <c r="AP61" s="784">
        <f t="shared" si="68"/>
        <v>12613011.550000001</v>
      </c>
      <c r="AQ61" s="784">
        <f t="shared" si="68"/>
        <v>12613011.550000001</v>
      </c>
      <c r="AR61" s="784">
        <f t="shared" si="68"/>
        <v>12613011.550000001</v>
      </c>
      <c r="AS61" s="784">
        <f t="shared" si="68"/>
        <v>12613011.550000001</v>
      </c>
      <c r="AT61" s="784">
        <f t="shared" si="68"/>
        <v>12613011.550000001</v>
      </c>
      <c r="AU61" s="642">
        <f t="shared" si="68"/>
        <v>12613011.550000001</v>
      </c>
      <c r="AV61" s="642">
        <f t="shared" si="68"/>
        <v>12613011.550000001</v>
      </c>
      <c r="AW61" s="642">
        <f t="shared" si="68"/>
        <v>12613011.550000001</v>
      </c>
      <c r="AX61" s="642">
        <f t="shared" si="68"/>
        <v>12613011.550000001</v>
      </c>
      <c r="AY61" s="642">
        <f t="shared" si="68"/>
        <v>12613011.550000001</v>
      </c>
      <c r="AZ61" s="642">
        <f t="shared" si="68"/>
        <v>12613011.550000001</v>
      </c>
      <c r="BA61" s="642">
        <f t="shared" si="68"/>
        <v>12613011.550000001</v>
      </c>
      <c r="BB61" s="642">
        <f t="shared" si="68"/>
        <v>12613011.550000001</v>
      </c>
      <c r="BC61" s="642">
        <f t="shared" si="68"/>
        <v>12613011.550000001</v>
      </c>
      <c r="BD61" s="642">
        <f t="shared" si="68"/>
        <v>12613011.550000001</v>
      </c>
      <c r="BE61" s="642">
        <f t="shared" si="68"/>
        <v>12613011.550000001</v>
      </c>
      <c r="BF61" s="642">
        <f t="shared" si="68"/>
        <v>12613011.550000001</v>
      </c>
      <c r="BG61" s="642">
        <f t="shared" si="68"/>
        <v>12613011.550000001</v>
      </c>
      <c r="BH61" s="642">
        <f t="shared" si="68"/>
        <v>12613011.550000001</v>
      </c>
      <c r="BI61" s="642">
        <f t="shared" si="68"/>
        <v>12613011.550000001</v>
      </c>
      <c r="BJ61" s="642">
        <f t="shared" si="68"/>
        <v>12613011.550000001</v>
      </c>
      <c r="BK61" s="642">
        <f t="shared" si="68"/>
        <v>12613011.550000001</v>
      </c>
      <c r="BL61" s="642">
        <f t="shared" si="68"/>
        <v>12613011.550000001</v>
      </c>
      <c r="BM61" s="642">
        <f t="shared" si="68"/>
        <v>12613011.550000001</v>
      </c>
      <c r="BN61" s="642">
        <f t="shared" si="68"/>
        <v>12613011.550000001</v>
      </c>
      <c r="BO61" s="642">
        <f t="shared" si="68"/>
        <v>12613011.550000001</v>
      </c>
      <c r="BP61" s="642">
        <f t="shared" si="68"/>
        <v>12613011.550000001</v>
      </c>
      <c r="BQ61" s="642">
        <f t="shared" si="68"/>
        <v>12613011.550000001</v>
      </c>
      <c r="BR61" s="642">
        <f t="shared" si="68"/>
        <v>12613011.550000001</v>
      </c>
      <c r="BS61" s="642">
        <f t="shared" si="69"/>
        <v>12613011.550000001</v>
      </c>
      <c r="BT61" s="642">
        <f t="shared" si="69"/>
        <v>12613011.550000001</v>
      </c>
      <c r="BU61" s="642">
        <f t="shared" si="69"/>
        <v>12613011.550000001</v>
      </c>
      <c r="BV61" s="642">
        <f t="shared" si="69"/>
        <v>12613011.550000001</v>
      </c>
      <c r="BW61" s="642">
        <f t="shared" si="69"/>
        <v>12613011.550000001</v>
      </c>
      <c r="BX61" s="642">
        <f t="shared" si="69"/>
        <v>12613011.550000001</v>
      </c>
      <c r="BY61" s="642">
        <f t="shared" si="69"/>
        <v>12613011.550000001</v>
      </c>
      <c r="BZ61" s="642">
        <f t="shared" si="69"/>
        <v>12613011.550000001</v>
      </c>
      <c r="CA61" s="642">
        <f t="shared" si="69"/>
        <v>12613011.550000001</v>
      </c>
      <c r="CB61" s="642">
        <f t="shared" si="69"/>
        <v>12613011.550000001</v>
      </c>
      <c r="CC61" s="642">
        <f t="shared" si="69"/>
        <v>12613011.550000001</v>
      </c>
      <c r="CD61" s="642">
        <f t="shared" si="69"/>
        <v>12613011.550000001</v>
      </c>
      <c r="CE61" s="642">
        <f t="shared" si="69"/>
        <v>12613011.550000001</v>
      </c>
      <c r="CF61" s="642">
        <f t="shared" si="69"/>
        <v>12613011.550000001</v>
      </c>
      <c r="CG61" s="642">
        <f t="shared" si="69"/>
        <v>12613011.550000001</v>
      </c>
      <c r="CH61" s="642">
        <f t="shared" si="69"/>
        <v>12613011.550000001</v>
      </c>
      <c r="CI61" s="642">
        <f t="shared" si="69"/>
        <v>12613011.550000001</v>
      </c>
      <c r="CJ61" s="642">
        <f t="shared" si="69"/>
        <v>12613011.550000001</v>
      </c>
      <c r="CK61" s="642">
        <f t="shared" si="69"/>
        <v>12613011.550000001</v>
      </c>
      <c r="CL61" s="642">
        <f t="shared" si="69"/>
        <v>12613011.550000001</v>
      </c>
      <c r="CM61" s="642">
        <f t="shared" si="70"/>
        <v>12613011.54999998</v>
      </c>
      <c r="CN61" s="245"/>
      <c r="CO61" s="245"/>
      <c r="CP61" s="245"/>
      <c r="CQ61" s="245"/>
      <c r="CR61" s="245"/>
      <c r="CS61" s="245"/>
      <c r="CT61" s="245"/>
      <c r="CU61" s="245"/>
      <c r="CV61" s="245"/>
      <c r="CW61" s="245"/>
      <c r="CX61" s="245"/>
      <c r="CY61" s="245"/>
      <c r="CZ61" s="245"/>
      <c r="DA61" s="245"/>
      <c r="DB61" s="245"/>
      <c r="DC61" s="245"/>
      <c r="DD61" s="245"/>
      <c r="DE61" s="245"/>
      <c r="DF61" s="245"/>
      <c r="DG61" s="245"/>
      <c r="DH61" s="245"/>
      <c r="DI61" s="245"/>
      <c r="DJ61" s="245"/>
      <c r="DK61" s="245"/>
      <c r="DL61" s="245"/>
      <c r="DM61" s="245"/>
      <c r="DN61" s="245"/>
      <c r="DO61" s="245"/>
      <c r="DP61" s="245"/>
      <c r="DQ61" s="245"/>
      <c r="DR61" s="245"/>
      <c r="DS61" s="245"/>
      <c r="DT61" s="245"/>
      <c r="DU61" s="245"/>
      <c r="DV61" s="245"/>
      <c r="DW61" s="245"/>
      <c r="DX61" s="245"/>
      <c r="DY61" s="245"/>
      <c r="DZ61" s="245"/>
      <c r="EA61" s="245"/>
      <c r="EB61" s="245"/>
      <c r="EC61" s="245"/>
      <c r="ED61" s="245"/>
      <c r="EE61" s="245"/>
      <c r="EF61" s="245"/>
      <c r="EG61" s="245"/>
      <c r="EH61" s="245"/>
      <c r="EI61" s="245"/>
      <c r="EJ61" s="245"/>
      <c r="EK61" s="245"/>
      <c r="EL61" s="245"/>
      <c r="EM61" s="245"/>
      <c r="EN61" s="245"/>
      <c r="EO61" s="245"/>
      <c r="EP61" s="245"/>
      <c r="EQ61" s="245"/>
      <c r="ER61" s="245"/>
      <c r="ES61" s="245"/>
      <c r="ET61" s="245"/>
      <c r="EU61" s="245"/>
      <c r="EV61" s="245"/>
      <c r="EW61" s="245"/>
      <c r="EX61" s="245"/>
      <c r="EY61" s="245"/>
      <c r="EZ61" s="245"/>
      <c r="FA61" s="245"/>
      <c r="FB61" s="245"/>
      <c r="FC61" s="245"/>
      <c r="FD61" s="245"/>
      <c r="FE61" s="245"/>
      <c r="FF61" s="245"/>
      <c r="FG61" s="245"/>
      <c r="FH61" s="245"/>
      <c r="FI61" s="245"/>
      <c r="FJ61" s="245"/>
      <c r="FK61" s="245"/>
      <c r="FL61" s="245"/>
      <c r="FM61" s="245"/>
      <c r="FN61" s="245"/>
      <c r="FO61" s="245"/>
      <c r="FP61" s="245"/>
      <c r="FQ61" s="245"/>
      <c r="FR61" s="245"/>
      <c r="FS61" s="245"/>
      <c r="FT61" s="245"/>
      <c r="FU61" s="245"/>
      <c r="FV61" s="245"/>
    </row>
    <row r="62" spans="1:178">
      <c r="A62" s="1022"/>
      <c r="B62" s="1022"/>
      <c r="C62" s="1022"/>
      <c r="D62" s="1022"/>
      <c r="E62" s="1023"/>
      <c r="F62" s="788" t="s">
        <v>187</v>
      </c>
      <c r="G62" s="784">
        <f t="shared" ref="G62:BR62" si="71">G41</f>
        <v>577198522.33817685</v>
      </c>
      <c r="H62" s="784">
        <f t="shared" si="71"/>
        <v>577198522.33817685</v>
      </c>
      <c r="I62" s="784">
        <f t="shared" si="71"/>
        <v>577198522.33817685</v>
      </c>
      <c r="J62" s="784">
        <f t="shared" si="71"/>
        <v>577200381.91337681</v>
      </c>
      <c r="K62" s="784">
        <f t="shared" si="71"/>
        <v>577631515.5683769</v>
      </c>
      <c r="L62" s="784">
        <f t="shared" si="71"/>
        <v>577632135.42677689</v>
      </c>
      <c r="M62" s="784">
        <f t="shared" si="71"/>
        <v>577632135.42677689</v>
      </c>
      <c r="N62" s="784">
        <f t="shared" si="71"/>
        <v>578843052.84126496</v>
      </c>
      <c r="O62" s="784">
        <f t="shared" si="71"/>
        <v>577632755.28517687</v>
      </c>
      <c r="P62" s="784">
        <f t="shared" si="71"/>
        <v>578845377.31026495</v>
      </c>
      <c r="Q62" s="784">
        <f t="shared" si="71"/>
        <v>580055674.86635494</v>
      </c>
      <c r="R62" s="784">
        <f t="shared" si="71"/>
        <v>581265972.42244482</v>
      </c>
      <c r="S62" s="784">
        <f t="shared" si="71"/>
        <v>582476889.83693278</v>
      </c>
      <c r="T62" s="784">
        <f t="shared" si="71"/>
        <v>583689275.15835869</v>
      </c>
      <c r="U62" s="784">
        <f t="shared" si="71"/>
        <v>584899797.6274364</v>
      </c>
      <c r="V62" s="784">
        <f t="shared" si="71"/>
        <v>586209476.41527855</v>
      </c>
      <c r="W62" s="784">
        <f t="shared" si="71"/>
        <v>587383845.56370699</v>
      </c>
      <c r="X62" s="784">
        <f t="shared" si="71"/>
        <v>588558214.712134</v>
      </c>
      <c r="Y62" s="784">
        <f t="shared" si="71"/>
        <v>589732583.86056244</v>
      </c>
      <c r="Z62" s="784">
        <f t="shared" si="71"/>
        <v>590906953.00899112</v>
      </c>
      <c r="AA62" s="784">
        <f t="shared" si="71"/>
        <v>592081322.15741789</v>
      </c>
      <c r="AB62" s="784">
        <f t="shared" si="71"/>
        <v>593255691.30584645</v>
      </c>
      <c r="AC62" s="784">
        <f t="shared" si="71"/>
        <v>594430060.45427513</v>
      </c>
      <c r="AD62" s="784">
        <f t="shared" si="71"/>
        <v>595604429.6027019</v>
      </c>
      <c r="AE62" s="784">
        <f t="shared" si="71"/>
        <v>596780435.5269295</v>
      </c>
      <c r="AF62" s="784">
        <f t="shared" si="71"/>
        <v>597953167.89955723</v>
      </c>
      <c r="AG62" s="784">
        <f t="shared" si="71"/>
        <v>599127949.17480946</v>
      </c>
      <c r="AH62" s="784">
        <f t="shared" si="71"/>
        <v>600301906.19641459</v>
      </c>
      <c r="AI62" s="784">
        <f t="shared" si="71"/>
        <v>601476275.34484124</v>
      </c>
      <c r="AJ62" s="784">
        <f t="shared" si="71"/>
        <v>602650644.4932698</v>
      </c>
      <c r="AK62" s="784">
        <f t="shared" si="71"/>
        <v>603825013.64169848</v>
      </c>
      <c r="AL62" s="784">
        <f t="shared" si="71"/>
        <v>604999382.79012525</v>
      </c>
      <c r="AM62" s="784">
        <f t="shared" si="71"/>
        <v>606173751.93855393</v>
      </c>
      <c r="AN62" s="784">
        <f t="shared" si="71"/>
        <v>607348121.0869807</v>
      </c>
      <c r="AO62" s="784">
        <f t="shared" si="71"/>
        <v>608522490.23540938</v>
      </c>
      <c r="AP62" s="784">
        <f t="shared" si="71"/>
        <v>609696859.38383782</v>
      </c>
      <c r="AQ62" s="784">
        <f t="shared" si="71"/>
        <v>610871228.53226459</v>
      </c>
      <c r="AR62" s="784">
        <f t="shared" si="71"/>
        <v>612045597.68069339</v>
      </c>
      <c r="AS62" s="784">
        <f t="shared" si="71"/>
        <v>613219966.82912195</v>
      </c>
      <c r="AT62" s="784">
        <f t="shared" si="71"/>
        <v>480358962.52906466</v>
      </c>
      <c r="AU62" s="642">
        <f t="shared" si="71"/>
        <v>585156042.40356481</v>
      </c>
      <c r="AV62" s="642">
        <f t="shared" si="71"/>
        <v>588266305.13866127</v>
      </c>
      <c r="AW62" s="642">
        <f t="shared" si="71"/>
        <v>568327083.47309601</v>
      </c>
      <c r="AX62" s="642">
        <f t="shared" si="71"/>
        <v>617244859.47590363</v>
      </c>
      <c r="AY62" s="642">
        <f t="shared" si="71"/>
        <v>668882724.94326699</v>
      </c>
      <c r="AZ62" s="642">
        <f t="shared" si="71"/>
        <v>683714063.11193705</v>
      </c>
      <c r="BA62" s="642">
        <f t="shared" si="71"/>
        <v>693159965.16293657</v>
      </c>
      <c r="BB62" s="642">
        <f t="shared" si="71"/>
        <v>682620157.33884144</v>
      </c>
      <c r="BC62" s="642">
        <f t="shared" si="71"/>
        <v>731160553.64582551</v>
      </c>
      <c r="BD62" s="642">
        <f t="shared" si="71"/>
        <v>692170600.59429467</v>
      </c>
      <c r="BE62" s="642">
        <f t="shared" si="71"/>
        <v>651792823.8582499</v>
      </c>
      <c r="BF62" s="642">
        <f t="shared" si="71"/>
        <v>644961217.25700843</v>
      </c>
      <c r="BG62" s="642">
        <f t="shared" si="71"/>
        <v>695591598.84839642</v>
      </c>
      <c r="BH62" s="642">
        <f t="shared" si="71"/>
        <v>625766224.5939306</v>
      </c>
      <c r="BI62" s="642">
        <f t="shared" si="71"/>
        <v>558683796.64690077</v>
      </c>
      <c r="BJ62" s="642">
        <f t="shared" si="71"/>
        <v>546952364.98086476</v>
      </c>
      <c r="BK62" s="642">
        <f t="shared" si="71"/>
        <v>578120284.28986478</v>
      </c>
      <c r="BL62" s="642">
        <f t="shared" si="71"/>
        <v>624589574.23636472</v>
      </c>
      <c r="BM62" s="642">
        <f t="shared" si="71"/>
        <v>576886323.31786478</v>
      </c>
      <c r="BN62" s="642">
        <f t="shared" si="71"/>
        <v>560357865.49526465</v>
      </c>
      <c r="BO62" s="642">
        <f t="shared" si="71"/>
        <v>659371843.60016477</v>
      </c>
      <c r="BP62" s="642">
        <f t="shared" si="71"/>
        <v>648509035.44926488</v>
      </c>
      <c r="BQ62" s="642">
        <f t="shared" si="71"/>
        <v>708137089.06026483</v>
      </c>
      <c r="BR62" s="642">
        <f t="shared" si="71"/>
        <v>613603569.22846472</v>
      </c>
      <c r="BS62" s="642">
        <f t="shared" ref="BS62:CL62" si="72">BS41</f>
        <v>590228952.48026478</v>
      </c>
      <c r="BT62" s="642">
        <f t="shared" si="72"/>
        <v>438321560.52246475</v>
      </c>
      <c r="BU62" s="642">
        <f t="shared" si="72"/>
        <v>526692248.90126473</v>
      </c>
      <c r="BV62" s="642">
        <f t="shared" si="72"/>
        <v>505072761.21266472</v>
      </c>
      <c r="BW62" s="642">
        <f t="shared" si="72"/>
        <v>382372499.34226471</v>
      </c>
      <c r="BX62" s="642">
        <f t="shared" si="72"/>
        <v>367778044.00326473</v>
      </c>
      <c r="BY62" s="642">
        <f t="shared" si="72"/>
        <v>419785425.61786473</v>
      </c>
      <c r="BZ62" s="642">
        <f t="shared" si="72"/>
        <v>482715099.65196478</v>
      </c>
      <c r="CA62" s="642">
        <f t="shared" si="72"/>
        <v>504034642.28836477</v>
      </c>
      <c r="CB62" s="642">
        <f t="shared" si="72"/>
        <v>549559943.23616469</v>
      </c>
      <c r="CC62" s="642">
        <f t="shared" si="72"/>
        <v>589411956.97126472</v>
      </c>
      <c r="CD62" s="642">
        <f t="shared" si="72"/>
        <v>668945943.99966466</v>
      </c>
      <c r="CE62" s="642">
        <f t="shared" si="72"/>
        <v>776799169.30196488</v>
      </c>
      <c r="CF62" s="642">
        <f t="shared" si="72"/>
        <v>695542562.57326472</v>
      </c>
      <c r="CG62" s="642">
        <f t="shared" si="72"/>
        <v>591919062.82126486</v>
      </c>
      <c r="CH62" s="642">
        <f t="shared" si="72"/>
        <v>586536821.26516473</v>
      </c>
      <c r="CI62" s="642">
        <f t="shared" si="72"/>
        <v>634447337.33616483</v>
      </c>
      <c r="CJ62" s="642">
        <f t="shared" si="72"/>
        <v>707840132.61106479</v>
      </c>
      <c r="CK62" s="642">
        <f t="shared" si="72"/>
        <v>807241289.76906478</v>
      </c>
      <c r="CL62" s="642">
        <f t="shared" si="72"/>
        <v>866834210.69146478</v>
      </c>
      <c r="CM62" s="642">
        <f t="shared" si="70"/>
        <v>600702624.90250778</v>
      </c>
      <c r="CN62" s="245"/>
      <c r="CO62" s="245"/>
      <c r="CP62" s="245"/>
      <c r="CQ62" s="245"/>
      <c r="CR62" s="245"/>
      <c r="CS62" s="245"/>
      <c r="CT62" s="245"/>
      <c r="CU62" s="245"/>
      <c r="CV62" s="245"/>
      <c r="CW62" s="245"/>
      <c r="CX62" s="245"/>
      <c r="CY62" s="245"/>
      <c r="CZ62" s="245"/>
      <c r="DA62" s="245"/>
      <c r="DB62" s="245"/>
      <c r="DC62" s="245"/>
      <c r="DD62" s="245"/>
      <c r="DE62" s="245"/>
      <c r="DF62" s="245"/>
      <c r="DG62" s="245"/>
      <c r="DH62" s="245"/>
      <c r="DI62" s="245"/>
      <c r="DJ62" s="245"/>
      <c r="DK62" s="245"/>
      <c r="DL62" s="245"/>
      <c r="DM62" s="245"/>
      <c r="DN62" s="245"/>
      <c r="DO62" s="245"/>
      <c r="DP62" s="245"/>
      <c r="DQ62" s="245"/>
      <c r="DR62" s="245"/>
      <c r="DS62" s="245"/>
      <c r="DT62" s="245"/>
      <c r="DU62" s="245"/>
      <c r="DV62" s="245"/>
      <c r="DW62" s="245"/>
      <c r="DX62" s="245"/>
      <c r="DY62" s="245"/>
      <c r="DZ62" s="245"/>
      <c r="EA62" s="245"/>
      <c r="EB62" s="245"/>
      <c r="EC62" s="245"/>
      <c r="ED62" s="245"/>
      <c r="EE62" s="245"/>
      <c r="EF62" s="245"/>
      <c r="EG62" s="245"/>
      <c r="EH62" s="245"/>
      <c r="EI62" s="245"/>
      <c r="EJ62" s="245"/>
      <c r="EK62" s="245"/>
      <c r="EL62" s="245"/>
      <c r="EM62" s="245"/>
      <c r="EN62" s="245"/>
      <c r="EO62" s="245"/>
      <c r="EP62" s="245"/>
      <c r="EQ62" s="245"/>
      <c r="ER62" s="245"/>
      <c r="ES62" s="245"/>
      <c r="ET62" s="245"/>
      <c r="EU62" s="245"/>
      <c r="EV62" s="245"/>
      <c r="EW62" s="245"/>
      <c r="EX62" s="245"/>
      <c r="EY62" s="245"/>
      <c r="EZ62" s="245"/>
      <c r="FA62" s="245"/>
      <c r="FB62" s="245"/>
      <c r="FC62" s="245"/>
      <c r="FD62" s="245"/>
      <c r="FE62" s="245"/>
      <c r="FF62" s="245"/>
      <c r="FG62" s="245"/>
      <c r="FH62" s="245"/>
      <c r="FI62" s="245"/>
      <c r="FJ62" s="245"/>
      <c r="FK62" s="245"/>
      <c r="FL62" s="245"/>
      <c r="FM62" s="245"/>
      <c r="FN62" s="245"/>
      <c r="FO62" s="245"/>
      <c r="FP62" s="245"/>
      <c r="FQ62" s="245"/>
      <c r="FR62" s="245"/>
      <c r="FS62" s="245"/>
      <c r="FT62" s="245"/>
      <c r="FU62" s="245"/>
      <c r="FV62" s="245"/>
    </row>
    <row r="63" spans="1:178">
      <c r="A63" s="1022"/>
      <c r="B63" s="1022"/>
      <c r="C63" s="1022"/>
      <c r="D63" s="1022"/>
      <c r="E63" s="1023"/>
      <c r="F63" s="641" t="s">
        <v>188</v>
      </c>
      <c r="G63" s="784">
        <f t="shared" ref="G63:BR63" si="73">G45</f>
        <v>346567259</v>
      </c>
      <c r="H63" s="784">
        <f t="shared" si="73"/>
        <v>346567259</v>
      </c>
      <c r="I63" s="784">
        <f t="shared" si="73"/>
        <v>346567259</v>
      </c>
      <c r="J63" s="784">
        <f t="shared" si="73"/>
        <v>346567259</v>
      </c>
      <c r="K63" s="784">
        <f t="shared" si="73"/>
        <v>346567259</v>
      </c>
      <c r="L63" s="784">
        <f t="shared" si="73"/>
        <v>346567259</v>
      </c>
      <c r="M63" s="784">
        <f t="shared" si="73"/>
        <v>346567259</v>
      </c>
      <c r="N63" s="784">
        <f t="shared" si="73"/>
        <v>346567259</v>
      </c>
      <c r="O63" s="784">
        <f t="shared" si="73"/>
        <v>346567259</v>
      </c>
      <c r="P63" s="784">
        <f t="shared" si="73"/>
        <v>346567259</v>
      </c>
      <c r="Q63" s="784">
        <f t="shared" si="73"/>
        <v>346567259</v>
      </c>
      <c r="R63" s="784">
        <f t="shared" si="73"/>
        <v>346567259</v>
      </c>
      <c r="S63" s="784">
        <f t="shared" si="73"/>
        <v>346567259</v>
      </c>
      <c r="T63" s="784">
        <f t="shared" si="73"/>
        <v>346567259</v>
      </c>
      <c r="U63" s="784">
        <f t="shared" si="73"/>
        <v>346567259</v>
      </c>
      <c r="V63" s="784">
        <f t="shared" si="73"/>
        <v>346567259</v>
      </c>
      <c r="W63" s="784">
        <f t="shared" si="73"/>
        <v>346567259</v>
      </c>
      <c r="X63" s="784">
        <f t="shared" si="73"/>
        <v>346567259</v>
      </c>
      <c r="Y63" s="784">
        <f t="shared" si="73"/>
        <v>346567259</v>
      </c>
      <c r="Z63" s="784">
        <f t="shared" si="73"/>
        <v>346567259</v>
      </c>
      <c r="AA63" s="784">
        <f t="shared" si="73"/>
        <v>346567259</v>
      </c>
      <c r="AB63" s="784">
        <f t="shared" si="73"/>
        <v>346567259</v>
      </c>
      <c r="AC63" s="784">
        <f t="shared" si="73"/>
        <v>346567259</v>
      </c>
      <c r="AD63" s="784">
        <f t="shared" si="73"/>
        <v>346567259</v>
      </c>
      <c r="AE63" s="784">
        <f t="shared" si="73"/>
        <v>346567259</v>
      </c>
      <c r="AF63" s="784">
        <f t="shared" si="73"/>
        <v>346567259</v>
      </c>
      <c r="AG63" s="784">
        <f t="shared" si="73"/>
        <v>346567259</v>
      </c>
      <c r="AH63" s="784">
        <f t="shared" si="73"/>
        <v>346567259</v>
      </c>
      <c r="AI63" s="784">
        <f t="shared" si="73"/>
        <v>346567259</v>
      </c>
      <c r="AJ63" s="784">
        <f t="shared" si="73"/>
        <v>346567259</v>
      </c>
      <c r="AK63" s="784">
        <f t="shared" si="73"/>
        <v>346567259</v>
      </c>
      <c r="AL63" s="784">
        <f t="shared" si="73"/>
        <v>346567259</v>
      </c>
      <c r="AM63" s="784">
        <f t="shared" si="73"/>
        <v>346567259</v>
      </c>
      <c r="AN63" s="784">
        <f t="shared" si="73"/>
        <v>346567259</v>
      </c>
      <c r="AO63" s="784">
        <f t="shared" si="73"/>
        <v>346567259</v>
      </c>
      <c r="AP63" s="784">
        <f t="shared" si="73"/>
        <v>346567259</v>
      </c>
      <c r="AQ63" s="784">
        <f t="shared" si="73"/>
        <v>346567259</v>
      </c>
      <c r="AR63" s="784">
        <f t="shared" si="73"/>
        <v>346567259</v>
      </c>
      <c r="AS63" s="784">
        <f t="shared" si="73"/>
        <v>346567259</v>
      </c>
      <c r="AT63" s="784">
        <f t="shared" si="73"/>
        <v>346567259</v>
      </c>
      <c r="AU63" s="642">
        <f t="shared" si="73"/>
        <v>346567259</v>
      </c>
      <c r="AV63" s="642">
        <f t="shared" si="73"/>
        <v>346567259</v>
      </c>
      <c r="AW63" s="642">
        <f t="shared" si="73"/>
        <v>346567259</v>
      </c>
      <c r="AX63" s="642">
        <f t="shared" si="73"/>
        <v>346567259</v>
      </c>
      <c r="AY63" s="642">
        <f t="shared" si="73"/>
        <v>346567259</v>
      </c>
      <c r="AZ63" s="642">
        <f t="shared" si="73"/>
        <v>346567259</v>
      </c>
      <c r="BA63" s="642">
        <f t="shared" si="73"/>
        <v>346567259</v>
      </c>
      <c r="BB63" s="642">
        <f t="shared" si="73"/>
        <v>346567259</v>
      </c>
      <c r="BC63" s="642">
        <f t="shared" si="73"/>
        <v>346567259</v>
      </c>
      <c r="BD63" s="642">
        <f t="shared" si="73"/>
        <v>346567259</v>
      </c>
      <c r="BE63" s="642">
        <f t="shared" si="73"/>
        <v>346567259</v>
      </c>
      <c r="BF63" s="642">
        <f t="shared" si="73"/>
        <v>346567259</v>
      </c>
      <c r="BG63" s="642">
        <f t="shared" si="73"/>
        <v>346567259</v>
      </c>
      <c r="BH63" s="642">
        <f t="shared" si="73"/>
        <v>346567259</v>
      </c>
      <c r="BI63" s="642">
        <f t="shared" si="73"/>
        <v>346567259</v>
      </c>
      <c r="BJ63" s="642">
        <f t="shared" si="73"/>
        <v>346567259</v>
      </c>
      <c r="BK63" s="642">
        <f t="shared" si="73"/>
        <v>346567259</v>
      </c>
      <c r="BL63" s="642">
        <f t="shared" si="73"/>
        <v>346567259</v>
      </c>
      <c r="BM63" s="642">
        <f t="shared" si="73"/>
        <v>346567259</v>
      </c>
      <c r="BN63" s="642">
        <f t="shared" si="73"/>
        <v>346567259</v>
      </c>
      <c r="BO63" s="642">
        <f t="shared" si="73"/>
        <v>346567259</v>
      </c>
      <c r="BP63" s="642">
        <f t="shared" si="73"/>
        <v>346567259</v>
      </c>
      <c r="BQ63" s="642">
        <f t="shared" si="73"/>
        <v>346567259</v>
      </c>
      <c r="BR63" s="642">
        <f t="shared" si="73"/>
        <v>346567259</v>
      </c>
      <c r="BS63" s="642">
        <f t="shared" ref="BS63:CL63" si="74">BS45</f>
        <v>346567259</v>
      </c>
      <c r="BT63" s="642">
        <f t="shared" si="74"/>
        <v>346567259</v>
      </c>
      <c r="BU63" s="642">
        <f t="shared" si="74"/>
        <v>346567259</v>
      </c>
      <c r="BV63" s="642">
        <f t="shared" si="74"/>
        <v>346567259</v>
      </c>
      <c r="BW63" s="642">
        <f t="shared" si="74"/>
        <v>346567259</v>
      </c>
      <c r="BX63" s="642">
        <f t="shared" si="74"/>
        <v>346567259</v>
      </c>
      <c r="BY63" s="642">
        <f t="shared" si="74"/>
        <v>346567259</v>
      </c>
      <c r="BZ63" s="642">
        <f t="shared" si="74"/>
        <v>346567259</v>
      </c>
      <c r="CA63" s="642">
        <f t="shared" si="74"/>
        <v>346567259</v>
      </c>
      <c r="CB63" s="642">
        <f t="shared" si="74"/>
        <v>346567259</v>
      </c>
      <c r="CC63" s="642">
        <f t="shared" si="74"/>
        <v>346567259</v>
      </c>
      <c r="CD63" s="642">
        <f t="shared" si="74"/>
        <v>346567259</v>
      </c>
      <c r="CE63" s="642">
        <f t="shared" si="74"/>
        <v>346567259</v>
      </c>
      <c r="CF63" s="642">
        <f t="shared" si="74"/>
        <v>346567259</v>
      </c>
      <c r="CG63" s="642">
        <f t="shared" si="74"/>
        <v>346567259</v>
      </c>
      <c r="CH63" s="642">
        <f t="shared" si="74"/>
        <v>346567259</v>
      </c>
      <c r="CI63" s="642">
        <f t="shared" si="74"/>
        <v>346567259</v>
      </c>
      <c r="CJ63" s="642">
        <f t="shared" si="74"/>
        <v>346567259</v>
      </c>
      <c r="CK63" s="642">
        <f t="shared" si="74"/>
        <v>346567259</v>
      </c>
      <c r="CL63" s="642">
        <f t="shared" si="74"/>
        <v>346567259</v>
      </c>
      <c r="CM63" s="642">
        <f t="shared" si="70"/>
        <v>346567259</v>
      </c>
      <c r="CN63" s="245"/>
      <c r="CO63" s="245"/>
      <c r="CP63" s="245"/>
      <c r="CQ63" s="245"/>
      <c r="CR63" s="245"/>
      <c r="CS63" s="245"/>
      <c r="CT63" s="245"/>
      <c r="CU63" s="245"/>
      <c r="CV63" s="245"/>
      <c r="CW63" s="245"/>
      <c r="CX63" s="245"/>
      <c r="CY63" s="245"/>
      <c r="CZ63" s="245"/>
      <c r="DA63" s="245"/>
      <c r="DB63" s="245"/>
      <c r="DC63" s="245"/>
      <c r="DD63" s="245"/>
      <c r="DE63" s="245"/>
      <c r="DF63" s="245"/>
      <c r="DG63" s="245"/>
      <c r="DH63" s="245"/>
      <c r="DI63" s="245"/>
      <c r="DJ63" s="245"/>
      <c r="DK63" s="245"/>
      <c r="DL63" s="245"/>
      <c r="DM63" s="245"/>
      <c r="DN63" s="245"/>
      <c r="DO63" s="245"/>
      <c r="DP63" s="245"/>
      <c r="DQ63" s="245"/>
      <c r="DR63" s="245"/>
      <c r="DS63" s="245"/>
      <c r="DT63" s="245"/>
      <c r="DU63" s="245"/>
      <c r="DV63" s="245"/>
      <c r="DW63" s="245"/>
      <c r="DX63" s="245"/>
      <c r="DY63" s="245"/>
      <c r="DZ63" s="245"/>
      <c r="EA63" s="245"/>
      <c r="EB63" s="245"/>
      <c r="EC63" s="245"/>
      <c r="ED63" s="245"/>
      <c r="EE63" s="245"/>
      <c r="EF63" s="245"/>
      <c r="EG63" s="245"/>
      <c r="EH63" s="245"/>
      <c r="EI63" s="245"/>
      <c r="EJ63" s="245"/>
      <c r="EK63" s="245"/>
      <c r="EL63" s="245"/>
      <c r="EM63" s="245"/>
      <c r="EN63" s="245"/>
      <c r="EO63" s="245"/>
      <c r="EP63" s="245"/>
      <c r="EQ63" s="245"/>
      <c r="ER63" s="245"/>
      <c r="ES63" s="245"/>
      <c r="ET63" s="245"/>
      <c r="EU63" s="245"/>
      <c r="EV63" s="245"/>
      <c r="EW63" s="245"/>
      <c r="EX63" s="245"/>
      <c r="EY63" s="245"/>
      <c r="EZ63" s="245"/>
      <c r="FA63" s="245"/>
      <c r="FB63" s="245"/>
      <c r="FC63" s="245"/>
      <c r="FD63" s="245"/>
      <c r="FE63" s="245"/>
      <c r="FF63" s="245"/>
      <c r="FG63" s="245"/>
      <c r="FH63" s="245"/>
      <c r="FI63" s="245"/>
      <c r="FJ63" s="245"/>
      <c r="FK63" s="245"/>
      <c r="FL63" s="245"/>
      <c r="FM63" s="245"/>
      <c r="FN63" s="245"/>
      <c r="FO63" s="245"/>
      <c r="FP63" s="245"/>
      <c r="FQ63" s="245"/>
      <c r="FR63" s="245"/>
      <c r="FS63" s="245"/>
      <c r="FT63" s="245"/>
      <c r="FU63" s="245"/>
      <c r="FV63" s="245"/>
    </row>
    <row r="64" spans="1:178">
      <c r="A64" s="1022"/>
      <c r="B64" s="1022"/>
      <c r="C64" s="1022"/>
      <c r="D64" s="1022"/>
      <c r="E64" s="1023"/>
      <c r="F64" s="641" t="s">
        <v>189</v>
      </c>
      <c r="G64" s="784">
        <f t="shared" ref="G64:BR64" si="75">G44</f>
        <v>877099636</v>
      </c>
      <c r="H64" s="784">
        <f t="shared" si="75"/>
        <v>877099636</v>
      </c>
      <c r="I64" s="784">
        <f t="shared" si="75"/>
        <v>877099636</v>
      </c>
      <c r="J64" s="784">
        <f t="shared" si="75"/>
        <v>877099636</v>
      </c>
      <c r="K64" s="784">
        <f t="shared" si="75"/>
        <v>877099636</v>
      </c>
      <c r="L64" s="784">
        <f t="shared" si="75"/>
        <v>877099636</v>
      </c>
      <c r="M64" s="784">
        <f t="shared" si="75"/>
        <v>877099636</v>
      </c>
      <c r="N64" s="784">
        <f t="shared" si="75"/>
        <v>877099636</v>
      </c>
      <c r="O64" s="784">
        <f t="shared" si="75"/>
        <v>877099636</v>
      </c>
      <c r="P64" s="784">
        <f t="shared" si="75"/>
        <v>877099636</v>
      </c>
      <c r="Q64" s="784">
        <f t="shared" si="75"/>
        <v>877099636</v>
      </c>
      <c r="R64" s="784">
        <f t="shared" si="75"/>
        <v>877099636</v>
      </c>
      <c r="S64" s="784">
        <f t="shared" si="75"/>
        <v>877099636</v>
      </c>
      <c r="T64" s="784">
        <f t="shared" si="75"/>
        <v>877099636</v>
      </c>
      <c r="U64" s="784">
        <f t="shared" si="75"/>
        <v>877099636</v>
      </c>
      <c r="V64" s="784">
        <f t="shared" si="75"/>
        <v>877099636</v>
      </c>
      <c r="W64" s="784">
        <f t="shared" si="75"/>
        <v>877099636</v>
      </c>
      <c r="X64" s="784">
        <f t="shared" si="75"/>
        <v>877099636</v>
      </c>
      <c r="Y64" s="784">
        <f t="shared" si="75"/>
        <v>877099636</v>
      </c>
      <c r="Z64" s="784">
        <f t="shared" si="75"/>
        <v>877099636</v>
      </c>
      <c r="AA64" s="784">
        <f t="shared" si="75"/>
        <v>877099636</v>
      </c>
      <c r="AB64" s="784">
        <f t="shared" si="75"/>
        <v>877099636</v>
      </c>
      <c r="AC64" s="784">
        <f t="shared" si="75"/>
        <v>877099636</v>
      </c>
      <c r="AD64" s="784">
        <f t="shared" si="75"/>
        <v>877099636</v>
      </c>
      <c r="AE64" s="784">
        <f t="shared" si="75"/>
        <v>877099636</v>
      </c>
      <c r="AF64" s="784">
        <f t="shared" si="75"/>
        <v>877099636</v>
      </c>
      <c r="AG64" s="784">
        <f t="shared" si="75"/>
        <v>877099636</v>
      </c>
      <c r="AH64" s="784">
        <f t="shared" si="75"/>
        <v>877099636</v>
      </c>
      <c r="AI64" s="784">
        <f t="shared" si="75"/>
        <v>877099636</v>
      </c>
      <c r="AJ64" s="784">
        <f t="shared" si="75"/>
        <v>877099636</v>
      </c>
      <c r="AK64" s="784">
        <f t="shared" si="75"/>
        <v>877099636</v>
      </c>
      <c r="AL64" s="784">
        <f t="shared" si="75"/>
        <v>877099636</v>
      </c>
      <c r="AM64" s="784">
        <f t="shared" si="75"/>
        <v>877099636</v>
      </c>
      <c r="AN64" s="784">
        <f t="shared" si="75"/>
        <v>877099636</v>
      </c>
      <c r="AO64" s="784">
        <f t="shared" si="75"/>
        <v>877099636</v>
      </c>
      <c r="AP64" s="784">
        <f t="shared" si="75"/>
        <v>877099636</v>
      </c>
      <c r="AQ64" s="784">
        <f t="shared" si="75"/>
        <v>877099636</v>
      </c>
      <c r="AR64" s="784">
        <f t="shared" si="75"/>
        <v>877099636</v>
      </c>
      <c r="AS64" s="784">
        <f t="shared" si="75"/>
        <v>877099636</v>
      </c>
      <c r="AT64" s="784">
        <f t="shared" si="75"/>
        <v>877099636</v>
      </c>
      <c r="AU64" s="642">
        <f t="shared" si="75"/>
        <v>877099636</v>
      </c>
      <c r="AV64" s="642">
        <f t="shared" si="75"/>
        <v>877099636</v>
      </c>
      <c r="AW64" s="642">
        <f t="shared" si="75"/>
        <v>877099636</v>
      </c>
      <c r="AX64" s="642">
        <f t="shared" si="75"/>
        <v>877099636</v>
      </c>
      <c r="AY64" s="642">
        <f t="shared" si="75"/>
        <v>877099636</v>
      </c>
      <c r="AZ64" s="642">
        <f t="shared" si="75"/>
        <v>877099636</v>
      </c>
      <c r="BA64" s="642">
        <f t="shared" si="75"/>
        <v>877099636</v>
      </c>
      <c r="BB64" s="642">
        <f t="shared" si="75"/>
        <v>877099636</v>
      </c>
      <c r="BC64" s="642">
        <f t="shared" si="75"/>
        <v>877099636</v>
      </c>
      <c r="BD64" s="642">
        <f t="shared" si="75"/>
        <v>877099636</v>
      </c>
      <c r="BE64" s="642">
        <f t="shared" si="75"/>
        <v>877099636</v>
      </c>
      <c r="BF64" s="642">
        <f t="shared" si="75"/>
        <v>877099636</v>
      </c>
      <c r="BG64" s="642">
        <f t="shared" si="75"/>
        <v>877099636</v>
      </c>
      <c r="BH64" s="642">
        <f t="shared" si="75"/>
        <v>877099636</v>
      </c>
      <c r="BI64" s="642">
        <f t="shared" si="75"/>
        <v>877099636</v>
      </c>
      <c r="BJ64" s="642">
        <f t="shared" si="75"/>
        <v>877099636</v>
      </c>
      <c r="BK64" s="642">
        <f t="shared" si="75"/>
        <v>877099636</v>
      </c>
      <c r="BL64" s="642">
        <f t="shared" si="75"/>
        <v>877099636</v>
      </c>
      <c r="BM64" s="642">
        <f t="shared" si="75"/>
        <v>877099636</v>
      </c>
      <c r="BN64" s="642">
        <f t="shared" si="75"/>
        <v>877099636</v>
      </c>
      <c r="BO64" s="642">
        <f t="shared" si="75"/>
        <v>877099636</v>
      </c>
      <c r="BP64" s="642">
        <f t="shared" si="75"/>
        <v>877099636</v>
      </c>
      <c r="BQ64" s="642">
        <f t="shared" si="75"/>
        <v>877099636</v>
      </c>
      <c r="BR64" s="642">
        <f t="shared" si="75"/>
        <v>877099636</v>
      </c>
      <c r="BS64" s="642">
        <f t="shared" ref="BS64:CL64" si="76">BS44</f>
        <v>877099636</v>
      </c>
      <c r="BT64" s="642">
        <f t="shared" si="76"/>
        <v>877099636</v>
      </c>
      <c r="BU64" s="642">
        <f t="shared" si="76"/>
        <v>877099636</v>
      </c>
      <c r="BV64" s="642">
        <f t="shared" si="76"/>
        <v>877099636</v>
      </c>
      <c r="BW64" s="642">
        <f t="shared" si="76"/>
        <v>877099636</v>
      </c>
      <c r="BX64" s="642">
        <f t="shared" si="76"/>
        <v>877099636</v>
      </c>
      <c r="BY64" s="642">
        <f t="shared" si="76"/>
        <v>877099636</v>
      </c>
      <c r="BZ64" s="642">
        <f t="shared" si="76"/>
        <v>877099636</v>
      </c>
      <c r="CA64" s="642">
        <f t="shared" si="76"/>
        <v>877099636</v>
      </c>
      <c r="CB64" s="642">
        <f t="shared" si="76"/>
        <v>877099636</v>
      </c>
      <c r="CC64" s="642">
        <f t="shared" si="76"/>
        <v>877099636</v>
      </c>
      <c r="CD64" s="642">
        <f t="shared" si="76"/>
        <v>877099636</v>
      </c>
      <c r="CE64" s="642">
        <f t="shared" si="76"/>
        <v>877099636</v>
      </c>
      <c r="CF64" s="642">
        <f t="shared" si="76"/>
        <v>877099636</v>
      </c>
      <c r="CG64" s="642">
        <f t="shared" si="76"/>
        <v>877099636</v>
      </c>
      <c r="CH64" s="642">
        <f t="shared" si="76"/>
        <v>877099636</v>
      </c>
      <c r="CI64" s="642">
        <f t="shared" si="76"/>
        <v>877099636</v>
      </c>
      <c r="CJ64" s="642">
        <f t="shared" si="76"/>
        <v>877099636</v>
      </c>
      <c r="CK64" s="642">
        <f t="shared" si="76"/>
        <v>877099636</v>
      </c>
      <c r="CL64" s="642">
        <f t="shared" si="76"/>
        <v>877099636</v>
      </c>
      <c r="CM64" s="642">
        <f t="shared" si="70"/>
        <v>877099636</v>
      </c>
      <c r="CN64" s="245"/>
      <c r="CO64" s="245"/>
      <c r="CP64" s="245"/>
      <c r="CQ64" s="245"/>
      <c r="CR64" s="245"/>
      <c r="CS64" s="245"/>
      <c r="CT64" s="245"/>
      <c r="CU64" s="245"/>
      <c r="CV64" s="245"/>
      <c r="CW64" s="245"/>
      <c r="CX64" s="245"/>
      <c r="CY64" s="245"/>
      <c r="CZ64" s="245"/>
      <c r="DA64" s="245"/>
      <c r="DB64" s="245"/>
      <c r="DC64" s="245"/>
      <c r="DD64" s="245"/>
      <c r="DE64" s="245"/>
      <c r="DF64" s="245"/>
      <c r="DG64" s="245"/>
      <c r="DH64" s="245"/>
      <c r="DI64" s="245"/>
      <c r="DJ64" s="245"/>
      <c r="DK64" s="245"/>
      <c r="DL64" s="245"/>
      <c r="DM64" s="245"/>
      <c r="DN64" s="245"/>
      <c r="DO64" s="245"/>
      <c r="DP64" s="245"/>
      <c r="DQ64" s="245"/>
      <c r="DR64" s="245"/>
      <c r="DS64" s="245"/>
      <c r="DT64" s="245"/>
      <c r="DU64" s="245"/>
      <c r="DV64" s="245"/>
      <c r="DW64" s="245"/>
      <c r="DX64" s="245"/>
      <c r="DY64" s="245"/>
      <c r="DZ64" s="245"/>
      <c r="EA64" s="245"/>
      <c r="EB64" s="245"/>
      <c r="EC64" s="245"/>
      <c r="ED64" s="245"/>
      <c r="EE64" s="245"/>
      <c r="EF64" s="245"/>
      <c r="EG64" s="245"/>
      <c r="EH64" s="245"/>
      <c r="EI64" s="245"/>
      <c r="EJ64" s="245"/>
      <c r="EK64" s="245"/>
      <c r="EL64" s="245"/>
      <c r="EM64" s="245"/>
      <c r="EN64" s="245"/>
      <c r="EO64" s="245"/>
      <c r="EP64" s="245"/>
      <c r="EQ64" s="245"/>
      <c r="ER64" s="245"/>
      <c r="ES64" s="245"/>
      <c r="ET64" s="245"/>
      <c r="EU64" s="245"/>
      <c r="EV64" s="245"/>
      <c r="EW64" s="245"/>
      <c r="EX64" s="245"/>
      <c r="EY64" s="245"/>
      <c r="EZ64" s="245"/>
      <c r="FA64" s="245"/>
      <c r="FB64" s="245"/>
      <c r="FC64" s="245"/>
      <c r="FD64" s="245"/>
      <c r="FE64" s="245"/>
      <c r="FF64" s="245"/>
      <c r="FG64" s="245"/>
      <c r="FH64" s="245"/>
      <c r="FI64" s="245"/>
      <c r="FJ64" s="245"/>
      <c r="FK64" s="245"/>
      <c r="FL64" s="245"/>
      <c r="FM64" s="245"/>
      <c r="FN64" s="245"/>
      <c r="FO64" s="245"/>
      <c r="FP64" s="245"/>
      <c r="FQ64" s="245"/>
      <c r="FR64" s="245"/>
      <c r="FS64" s="245"/>
      <c r="FT64" s="245"/>
      <c r="FU64" s="245"/>
      <c r="FV64" s="245"/>
    </row>
    <row r="65" spans="1:178">
      <c r="A65" s="1022"/>
      <c r="B65" s="1022"/>
      <c r="C65" s="1022"/>
      <c r="D65" s="1022"/>
      <c r="E65" s="1023"/>
      <c r="F65" s="641" t="s">
        <v>190</v>
      </c>
      <c r="G65" s="784">
        <f t="shared" ref="G65:AS65" si="77">SUM(G60:G64)</f>
        <v>1819900220.4923377</v>
      </c>
      <c r="H65" s="784">
        <f t="shared" si="77"/>
        <v>1819900220.4923377</v>
      </c>
      <c r="I65" s="784">
        <f t="shared" si="77"/>
        <v>1819900220.4923377</v>
      </c>
      <c r="J65" s="784">
        <f t="shared" si="77"/>
        <v>1819902080.0675378</v>
      </c>
      <c r="K65" s="784">
        <f t="shared" si="77"/>
        <v>1820333213.7225378</v>
      </c>
      <c r="L65" s="784">
        <f t="shared" si="77"/>
        <v>1820333833.5809379</v>
      </c>
      <c r="M65" s="784">
        <f t="shared" si="77"/>
        <v>1820333833.5809379</v>
      </c>
      <c r="N65" s="784">
        <f t="shared" si="77"/>
        <v>1821544750.9954257</v>
      </c>
      <c r="O65" s="784">
        <f t="shared" si="77"/>
        <v>1820334453.4393377</v>
      </c>
      <c r="P65" s="784">
        <f t="shared" si="77"/>
        <v>1821547075.4644258</v>
      </c>
      <c r="Q65" s="784">
        <f t="shared" si="77"/>
        <v>1822757373.0205159</v>
      </c>
      <c r="R65" s="784">
        <f t="shared" si="77"/>
        <v>1823967670.5766058</v>
      </c>
      <c r="S65" s="784">
        <f t="shared" si="77"/>
        <v>1825178587.9910936</v>
      </c>
      <c r="T65" s="784">
        <f t="shared" si="77"/>
        <v>1826390973.3125196</v>
      </c>
      <c r="U65" s="784">
        <f t="shared" si="77"/>
        <v>1827601495.7815971</v>
      </c>
      <c r="V65" s="784">
        <f t="shared" si="77"/>
        <v>1828911174.5694394</v>
      </c>
      <c r="W65" s="784">
        <f t="shared" si="77"/>
        <v>1830085543.7178679</v>
      </c>
      <c r="X65" s="784">
        <f t="shared" si="77"/>
        <v>1831259912.8662949</v>
      </c>
      <c r="Y65" s="784">
        <f t="shared" si="77"/>
        <v>1832434282.0147233</v>
      </c>
      <c r="Z65" s="784">
        <f t="shared" si="77"/>
        <v>1833608651.163152</v>
      </c>
      <c r="AA65" s="784">
        <f t="shared" si="77"/>
        <v>1834783020.3115788</v>
      </c>
      <c r="AB65" s="784">
        <f t="shared" si="77"/>
        <v>1835957389.4600072</v>
      </c>
      <c r="AC65" s="784">
        <f t="shared" si="77"/>
        <v>1837131758.6084361</v>
      </c>
      <c r="AD65" s="784">
        <f t="shared" si="77"/>
        <v>1838306127.7568626</v>
      </c>
      <c r="AE65" s="784">
        <f t="shared" si="77"/>
        <v>1839482133.6810904</v>
      </c>
      <c r="AF65" s="784">
        <f t="shared" si="77"/>
        <v>1840654866.0537181</v>
      </c>
      <c r="AG65" s="784">
        <f t="shared" si="77"/>
        <v>1841829647.3289704</v>
      </c>
      <c r="AH65" s="784">
        <f t="shared" si="77"/>
        <v>1843003604.3505754</v>
      </c>
      <c r="AI65" s="784">
        <f t="shared" si="77"/>
        <v>1844177973.499002</v>
      </c>
      <c r="AJ65" s="784">
        <f t="shared" si="77"/>
        <v>1845352342.6474307</v>
      </c>
      <c r="AK65" s="784">
        <f t="shared" si="77"/>
        <v>1846526711.7958593</v>
      </c>
      <c r="AL65" s="784">
        <f t="shared" si="77"/>
        <v>1847701080.9442861</v>
      </c>
      <c r="AM65" s="784">
        <f t="shared" si="77"/>
        <v>1848875450.0927148</v>
      </c>
      <c r="AN65" s="784">
        <f t="shared" si="77"/>
        <v>1850049819.2411416</v>
      </c>
      <c r="AO65" s="784">
        <f t="shared" si="77"/>
        <v>1851224188.3895702</v>
      </c>
      <c r="AP65" s="784">
        <f t="shared" si="77"/>
        <v>1852398557.5379987</v>
      </c>
      <c r="AQ65" s="784">
        <f t="shared" si="77"/>
        <v>1853572926.6864254</v>
      </c>
      <c r="AR65" s="784">
        <f t="shared" si="77"/>
        <v>1854747295.8348541</v>
      </c>
      <c r="AS65" s="784">
        <f t="shared" si="77"/>
        <v>1855921664.9832828</v>
      </c>
      <c r="AT65" s="784">
        <f>SUM(AT60:AT64)</f>
        <v>1723060660.6832256</v>
      </c>
      <c r="AU65" s="642">
        <f>SUM(AU60:AU64)</f>
        <v>1827857740.5577257</v>
      </c>
      <c r="AV65" s="642">
        <f t="shared" ref="AV65:CL65" si="78">SUM(AV60:AV64)</f>
        <v>1830968003.2928221</v>
      </c>
      <c r="AW65" s="642">
        <f t="shared" si="78"/>
        <v>1811028781.6272569</v>
      </c>
      <c r="AX65" s="642">
        <f t="shared" si="78"/>
        <v>1859946557.6300645</v>
      </c>
      <c r="AY65" s="642">
        <f t="shared" si="78"/>
        <v>1911584423.0974278</v>
      </c>
      <c r="AZ65" s="642">
        <f t="shared" si="78"/>
        <v>1926415761.266098</v>
      </c>
      <c r="BA65" s="642">
        <f t="shared" si="78"/>
        <v>1935861663.3170974</v>
      </c>
      <c r="BB65" s="642">
        <f t="shared" si="78"/>
        <v>1925321855.4930024</v>
      </c>
      <c r="BC65" s="642">
        <f t="shared" si="78"/>
        <v>1973862251.7999864</v>
      </c>
      <c r="BD65" s="642">
        <f t="shared" si="78"/>
        <v>1934872298.7484555</v>
      </c>
      <c r="BE65" s="642">
        <f t="shared" si="78"/>
        <v>1894494522.0124106</v>
      </c>
      <c r="BF65" s="642">
        <f t="shared" si="78"/>
        <v>1887662915.4111693</v>
      </c>
      <c r="BG65" s="642">
        <f t="shared" si="78"/>
        <v>1938293297.0025573</v>
      </c>
      <c r="BH65" s="642">
        <f t="shared" si="78"/>
        <v>1868467922.7480915</v>
      </c>
      <c r="BI65" s="642">
        <f t="shared" si="78"/>
        <v>1801385494.8010616</v>
      </c>
      <c r="BJ65" s="642">
        <f t="shared" si="78"/>
        <v>1789654063.1350255</v>
      </c>
      <c r="BK65" s="642">
        <f t="shared" si="78"/>
        <v>1820821982.4440255</v>
      </c>
      <c r="BL65" s="642">
        <f t="shared" si="78"/>
        <v>1867291272.3905256</v>
      </c>
      <c r="BM65" s="642">
        <f t="shared" si="78"/>
        <v>1819588021.4720256</v>
      </c>
      <c r="BN65" s="642">
        <f t="shared" si="78"/>
        <v>1803059563.6494255</v>
      </c>
      <c r="BO65" s="642">
        <f t="shared" si="78"/>
        <v>1902073541.7543256</v>
      </c>
      <c r="BP65" s="642">
        <f t="shared" si="78"/>
        <v>1891210733.6034257</v>
      </c>
      <c r="BQ65" s="642">
        <f t="shared" si="78"/>
        <v>1950838787.2144256</v>
      </c>
      <c r="BR65" s="642">
        <f t="shared" si="78"/>
        <v>1856305267.3826256</v>
      </c>
      <c r="BS65" s="642">
        <f t="shared" si="78"/>
        <v>1832930650.6344256</v>
      </c>
      <c r="BT65" s="642">
        <f t="shared" si="78"/>
        <v>1681023258.6766257</v>
      </c>
      <c r="BU65" s="642">
        <f t="shared" si="78"/>
        <v>1769393947.0554256</v>
      </c>
      <c r="BV65" s="642">
        <f t="shared" si="78"/>
        <v>1747774459.3668256</v>
      </c>
      <c r="BW65" s="642">
        <f t="shared" si="78"/>
        <v>1625074197.4964256</v>
      </c>
      <c r="BX65" s="642">
        <f t="shared" si="78"/>
        <v>1610479742.1574256</v>
      </c>
      <c r="BY65" s="642">
        <f t="shared" si="78"/>
        <v>1662487123.7720256</v>
      </c>
      <c r="BZ65" s="642">
        <f t="shared" si="78"/>
        <v>1725416797.8061256</v>
      </c>
      <c r="CA65" s="642">
        <f t="shared" si="78"/>
        <v>1746736340.4425256</v>
      </c>
      <c r="CB65" s="642">
        <f t="shared" si="78"/>
        <v>1792261641.3903255</v>
      </c>
      <c r="CC65" s="642">
        <f t="shared" si="78"/>
        <v>1832113655.1254256</v>
      </c>
      <c r="CD65" s="642">
        <f t="shared" si="78"/>
        <v>1911647642.1538255</v>
      </c>
      <c r="CE65" s="642">
        <f t="shared" si="78"/>
        <v>2019500867.4561257</v>
      </c>
      <c r="CF65" s="642">
        <f t="shared" si="78"/>
        <v>1938244260.7274256</v>
      </c>
      <c r="CG65" s="642">
        <f t="shared" si="78"/>
        <v>1834620760.9754257</v>
      </c>
      <c r="CH65" s="642">
        <f t="shared" si="78"/>
        <v>1829238519.4193256</v>
      </c>
      <c r="CI65" s="642">
        <f t="shared" si="78"/>
        <v>1877149035.4903257</v>
      </c>
      <c r="CJ65" s="642">
        <f t="shared" si="78"/>
        <v>1950541830.7652256</v>
      </c>
      <c r="CK65" s="642">
        <f t="shared" si="78"/>
        <v>2049942987.9232256</v>
      </c>
      <c r="CL65" s="642">
        <f t="shared" si="78"/>
        <v>2109535908.8456256</v>
      </c>
      <c r="CM65" s="642">
        <f t="shared" si="70"/>
        <v>1843404323.0566678</v>
      </c>
      <c r="CN65" s="245"/>
      <c r="CO65" s="245"/>
      <c r="CP65" s="245"/>
      <c r="CQ65" s="245"/>
      <c r="CR65" s="245"/>
      <c r="CS65" s="245"/>
      <c r="CT65" s="245"/>
      <c r="CU65" s="245"/>
      <c r="CV65" s="245"/>
      <c r="CW65" s="245"/>
      <c r="CX65" s="245"/>
      <c r="CY65" s="245"/>
      <c r="CZ65" s="245"/>
      <c r="DA65" s="245"/>
      <c r="DB65" s="245"/>
      <c r="DC65" s="245"/>
      <c r="DD65" s="245"/>
      <c r="DE65" s="245"/>
      <c r="DF65" s="245"/>
      <c r="DG65" s="245"/>
      <c r="DH65" s="245"/>
      <c r="DI65" s="245"/>
      <c r="DJ65" s="245"/>
      <c r="DK65" s="245"/>
      <c r="DL65" s="245"/>
      <c r="DM65" s="245"/>
      <c r="DN65" s="245"/>
      <c r="DO65" s="245"/>
      <c r="DP65" s="245"/>
      <c r="DQ65" s="245"/>
      <c r="DR65" s="245"/>
      <c r="DS65" s="245"/>
      <c r="DT65" s="245"/>
      <c r="DU65" s="245"/>
      <c r="DV65" s="245"/>
      <c r="DW65" s="245"/>
      <c r="DX65" s="245"/>
      <c r="DY65" s="245"/>
      <c r="DZ65" s="245"/>
      <c r="EA65" s="245"/>
      <c r="EB65" s="245"/>
      <c r="EC65" s="245"/>
      <c r="ED65" s="245"/>
      <c r="EE65" s="245"/>
      <c r="EF65" s="245"/>
      <c r="EG65" s="245"/>
      <c r="EH65" s="245"/>
      <c r="EI65" s="245"/>
      <c r="EJ65" s="245"/>
      <c r="EK65" s="245"/>
      <c r="EL65" s="245"/>
      <c r="EM65" s="245"/>
      <c r="EN65" s="245"/>
      <c r="EO65" s="245"/>
      <c r="EP65" s="245"/>
      <c r="EQ65" s="245"/>
      <c r="ER65" s="245"/>
      <c r="ES65" s="245"/>
      <c r="ET65" s="245"/>
      <c r="EU65" s="245"/>
      <c r="EV65" s="245"/>
      <c r="EW65" s="245"/>
      <c r="EX65" s="245"/>
      <c r="EY65" s="245"/>
      <c r="EZ65" s="245"/>
      <c r="FA65" s="245"/>
      <c r="FB65" s="245"/>
      <c r="FC65" s="245"/>
      <c r="FD65" s="245"/>
      <c r="FE65" s="245"/>
      <c r="FF65" s="245"/>
      <c r="FG65" s="245"/>
      <c r="FH65" s="245"/>
      <c r="FI65" s="245"/>
      <c r="FJ65" s="245"/>
      <c r="FK65" s="245"/>
      <c r="FL65" s="245"/>
      <c r="FM65" s="245"/>
      <c r="FN65" s="245"/>
      <c r="FO65" s="245"/>
      <c r="FP65" s="245"/>
      <c r="FQ65" s="245"/>
      <c r="FR65" s="245"/>
      <c r="FS65" s="245"/>
      <c r="FT65" s="245"/>
      <c r="FU65" s="245"/>
      <c r="FV65" s="245"/>
    </row>
    <row r="66" spans="1:178">
      <c r="A66" s="1022"/>
      <c r="B66" s="1022"/>
      <c r="C66" s="1022"/>
      <c r="D66" s="1022"/>
      <c r="E66" s="1023"/>
      <c r="F66" s="641" t="s">
        <v>191</v>
      </c>
      <c r="G66" s="784">
        <f t="shared" ref="G66:BR66" si="79">(0.101511101973684*G17*0.85*G3/0.685)+(0.20964*G16*0.5/0.82)</f>
        <v>238754694.64647672</v>
      </c>
      <c r="H66" s="784">
        <f t="shared" si="79"/>
        <v>233700411.61908671</v>
      </c>
      <c r="I66" s="784">
        <f t="shared" si="79"/>
        <v>205158578.05264899</v>
      </c>
      <c r="J66" s="784">
        <f t="shared" si="79"/>
        <v>197666346.74145913</v>
      </c>
      <c r="K66" s="784">
        <f t="shared" si="79"/>
        <v>194752701.23155195</v>
      </c>
      <c r="L66" s="784">
        <f t="shared" si="79"/>
        <v>196833876.59577134</v>
      </c>
      <c r="M66" s="784">
        <f t="shared" si="79"/>
        <v>194158079.69891784</v>
      </c>
      <c r="N66" s="784">
        <f t="shared" si="79"/>
        <v>192076904.33469841</v>
      </c>
      <c r="O66" s="784">
        <f t="shared" si="79"/>
        <v>178995230.61674777</v>
      </c>
      <c r="P66" s="784">
        <f t="shared" si="79"/>
        <v>176022122.95357719</v>
      </c>
      <c r="Q66" s="784">
        <f t="shared" si="79"/>
        <v>174238258.35567483</v>
      </c>
      <c r="R66" s="784">
        <f t="shared" si="79"/>
        <v>167697421.49669954</v>
      </c>
      <c r="S66" s="784">
        <f t="shared" si="79"/>
        <v>173227401.75019684</v>
      </c>
      <c r="T66" s="784">
        <f t="shared" si="79"/>
        <v>166389254.12490448</v>
      </c>
      <c r="U66" s="784">
        <f t="shared" si="79"/>
        <v>169183975.32828483</v>
      </c>
      <c r="V66" s="784">
        <f t="shared" si="79"/>
        <v>189936266.81721556</v>
      </c>
      <c r="W66" s="784">
        <f t="shared" si="79"/>
        <v>192433677.25427887</v>
      </c>
      <c r="X66" s="784">
        <f t="shared" si="79"/>
        <v>162345827.70299247</v>
      </c>
      <c r="Y66" s="784">
        <f t="shared" si="79"/>
        <v>139333974.39005208</v>
      </c>
      <c r="Z66" s="784">
        <f t="shared" si="79"/>
        <v>146291046.32187125</v>
      </c>
      <c r="AA66" s="784">
        <f t="shared" si="79"/>
        <v>143317938.65870067</v>
      </c>
      <c r="AB66" s="784">
        <f t="shared" si="79"/>
        <v>148074910.91977361</v>
      </c>
      <c r="AC66" s="784">
        <f t="shared" si="79"/>
        <v>137847420.55846679</v>
      </c>
      <c r="AD66" s="784">
        <f t="shared" si="79"/>
        <v>135290547.96814007</v>
      </c>
      <c r="AE66" s="784">
        <f t="shared" si="79"/>
        <v>126965846.51126239</v>
      </c>
      <c r="AF66" s="784">
        <f t="shared" si="79"/>
        <v>142842241.43259338</v>
      </c>
      <c r="AG66" s="784">
        <f t="shared" si="79"/>
        <v>160978198.17793399</v>
      </c>
      <c r="AH66" s="784">
        <f t="shared" si="79"/>
        <v>169481286.0946019</v>
      </c>
      <c r="AI66" s="784">
        <f t="shared" si="79"/>
        <v>182206186.89297205</v>
      </c>
      <c r="AJ66" s="784">
        <f t="shared" si="79"/>
        <v>199152900.57304439</v>
      </c>
      <c r="AK66" s="784">
        <f t="shared" si="79"/>
        <v>207477602.0299221</v>
      </c>
      <c r="AL66" s="784">
        <f t="shared" si="79"/>
        <v>191898517.87490818</v>
      </c>
      <c r="AM66" s="784">
        <f t="shared" si="79"/>
        <v>176319433.71989426</v>
      </c>
      <c r="AN66" s="784">
        <f t="shared" si="79"/>
        <v>168648815.94891411</v>
      </c>
      <c r="AO66" s="784">
        <f t="shared" si="79"/>
        <v>153307580.40695384</v>
      </c>
      <c r="AP66" s="784">
        <f t="shared" si="79"/>
        <v>171205688.53924084</v>
      </c>
      <c r="AQ66" s="784">
        <f t="shared" si="79"/>
        <v>224424315.70999447</v>
      </c>
      <c r="AR66" s="784">
        <f t="shared" si="79"/>
        <v>231381387.64181367</v>
      </c>
      <c r="AS66" s="784">
        <f t="shared" si="79"/>
        <v>233105790.0864526</v>
      </c>
      <c r="AT66" s="784">
        <f t="shared" si="79"/>
        <v>233508585.29463226</v>
      </c>
      <c r="AU66" s="642">
        <f t="shared" si="79"/>
        <v>210040378.29352093</v>
      </c>
      <c r="AV66" s="642">
        <f t="shared" si="79"/>
        <v>194114336.73370069</v>
      </c>
      <c r="AW66" s="642">
        <f t="shared" si="79"/>
        <v>193811497.74299863</v>
      </c>
      <c r="AX66" s="642">
        <f t="shared" si="79"/>
        <v>210047855.55348936</v>
      </c>
      <c r="AY66" s="642">
        <f t="shared" si="79"/>
        <v>236102498.70612854</v>
      </c>
      <c r="AZ66" s="642">
        <f t="shared" si="79"/>
        <v>237109254.30247012</v>
      </c>
      <c r="BA66" s="642">
        <f t="shared" si="79"/>
        <v>250866174.02416143</v>
      </c>
      <c r="BB66" s="642">
        <f t="shared" si="79"/>
        <v>269696971.02460462</v>
      </c>
      <c r="BC66" s="642">
        <f t="shared" si="79"/>
        <v>299831624.20078731</v>
      </c>
      <c r="BD66" s="642">
        <f t="shared" si="79"/>
        <v>241331657.43123114</v>
      </c>
      <c r="BE66" s="642">
        <f t="shared" si="79"/>
        <v>195931066.47148225</v>
      </c>
      <c r="BF66" s="642">
        <f t="shared" si="79"/>
        <v>189289579.02374715</v>
      </c>
      <c r="BG66" s="642">
        <f t="shared" si="79"/>
        <v>194905078.29219893</v>
      </c>
      <c r="BH66" s="642">
        <f t="shared" si="79"/>
        <v>211717410.57644424</v>
      </c>
      <c r="BI66" s="642">
        <f t="shared" si="79"/>
        <v>222481963.07468751</v>
      </c>
      <c r="BJ66" s="642">
        <f t="shared" si="79"/>
        <v>227834062.6115379</v>
      </c>
      <c r="BK66" s="642">
        <f t="shared" si="79"/>
        <v>185710025.21584097</v>
      </c>
      <c r="BL66" s="642">
        <f t="shared" si="79"/>
        <v>160489382.07000297</v>
      </c>
      <c r="BM66" s="642">
        <f t="shared" si="79"/>
        <v>163552609.64813861</v>
      </c>
      <c r="BN66" s="642">
        <f t="shared" si="79"/>
        <v>155386711.04060978</v>
      </c>
      <c r="BO66" s="642">
        <f t="shared" si="79"/>
        <v>185560709.02313861</v>
      </c>
      <c r="BP66" s="642">
        <f t="shared" si="79"/>
        <v>191070658.75987929</v>
      </c>
      <c r="BQ66" s="642">
        <f t="shared" si="79"/>
        <v>194835563.44952825</v>
      </c>
      <c r="BR66" s="642">
        <f t="shared" si="79"/>
        <v>250628793.66918865</v>
      </c>
      <c r="BS66" s="642">
        <f t="shared" ref="BS66:CL66" si="80">(0.101511101973684*BS17*0.85*BS3/0.685)+(0.20964*BS16*0.5/0.82)</f>
        <v>224642786.31046003</v>
      </c>
      <c r="BT66" s="642">
        <f t="shared" si="80"/>
        <v>198571107.47850579</v>
      </c>
      <c r="BU66" s="642">
        <f t="shared" si="80"/>
        <v>109027721.4902194</v>
      </c>
      <c r="BV66" s="642">
        <f t="shared" si="80"/>
        <v>160011938.16890919</v>
      </c>
      <c r="BW66" s="642">
        <f t="shared" si="80"/>
        <v>164924003.03266943</v>
      </c>
      <c r="BX66" s="642">
        <f t="shared" si="80"/>
        <v>167925451.14943621</v>
      </c>
      <c r="BY66" s="642">
        <f t="shared" si="80"/>
        <v>169543041.12815931</v>
      </c>
      <c r="BZ66" s="642">
        <f t="shared" si="80"/>
        <v>166866600.25112686</v>
      </c>
      <c r="CA66" s="642">
        <f t="shared" si="80"/>
        <v>171387267.49406376</v>
      </c>
      <c r="CB66" s="642">
        <f t="shared" si="80"/>
        <v>198643838.05695349</v>
      </c>
      <c r="CC66" s="642">
        <f t="shared" si="80"/>
        <v>206015836.11753744</v>
      </c>
      <c r="CD66" s="642">
        <f t="shared" si="80"/>
        <v>250224191.59243733</v>
      </c>
      <c r="CE66" s="642">
        <f t="shared" si="80"/>
        <v>273977355.76348162</v>
      </c>
      <c r="CF66" s="642">
        <f t="shared" si="80"/>
        <v>283182475.8731488</v>
      </c>
      <c r="CG66" s="642">
        <f t="shared" si="80"/>
        <v>259507654.2716687</v>
      </c>
      <c r="CH66" s="642">
        <f t="shared" si="80"/>
        <v>225883114.06086698</v>
      </c>
      <c r="CI66" s="642">
        <f t="shared" si="80"/>
        <v>242679566.07008663</v>
      </c>
      <c r="CJ66" s="642">
        <f t="shared" si="80"/>
        <v>287081616.86470199</v>
      </c>
      <c r="CK66" s="642">
        <f t="shared" si="80"/>
        <v>304205940.53168011</v>
      </c>
      <c r="CL66" s="642">
        <f t="shared" si="80"/>
        <v>303908123.83227217</v>
      </c>
      <c r="CM66" s="642">
        <f t="shared" si="70"/>
        <v>198418889.70894313</v>
      </c>
      <c r="CN66" s="245"/>
      <c r="CO66" s="245"/>
      <c r="CP66" s="245"/>
      <c r="CQ66" s="245"/>
      <c r="CR66" s="245"/>
      <c r="CS66" s="245"/>
      <c r="CT66" s="245"/>
      <c r="CU66" s="245"/>
      <c r="CV66" s="245"/>
      <c r="CW66" s="245"/>
      <c r="CX66" s="245"/>
      <c r="CY66" s="245"/>
      <c r="CZ66" s="245"/>
      <c r="DA66" s="245"/>
      <c r="DB66" s="245"/>
      <c r="DC66" s="245"/>
      <c r="DD66" s="245"/>
      <c r="DE66" s="245"/>
      <c r="DF66" s="245"/>
      <c r="DG66" s="245"/>
      <c r="DH66" s="245"/>
      <c r="DI66" s="245"/>
      <c r="DJ66" s="245"/>
      <c r="DK66" s="245"/>
      <c r="DL66" s="245"/>
      <c r="DM66" s="245"/>
      <c r="DN66" s="245"/>
      <c r="DO66" s="245"/>
      <c r="DP66" s="245"/>
      <c r="DQ66" s="245"/>
      <c r="DR66" s="245"/>
      <c r="DS66" s="245"/>
      <c r="DT66" s="245"/>
      <c r="DU66" s="245"/>
      <c r="DV66" s="245"/>
      <c r="DW66" s="245"/>
      <c r="DX66" s="245"/>
      <c r="DY66" s="245"/>
      <c r="DZ66" s="245"/>
      <c r="EA66" s="245"/>
      <c r="EB66" s="245"/>
      <c r="EC66" s="245"/>
      <c r="ED66" s="245"/>
      <c r="EE66" s="245"/>
      <c r="EF66" s="245"/>
      <c r="EG66" s="245"/>
      <c r="EH66" s="245"/>
      <c r="EI66" s="245"/>
      <c r="EJ66" s="245"/>
      <c r="EK66" s="245"/>
      <c r="EL66" s="245"/>
      <c r="EM66" s="245"/>
      <c r="EN66" s="245"/>
      <c r="EO66" s="245"/>
      <c r="EP66" s="245"/>
      <c r="EQ66" s="245"/>
      <c r="ER66" s="245"/>
      <c r="ES66" s="245"/>
      <c r="ET66" s="245"/>
      <c r="EU66" s="245"/>
      <c r="EV66" s="245"/>
      <c r="EW66" s="245"/>
      <c r="EX66" s="245"/>
      <c r="EY66" s="245"/>
      <c r="EZ66" s="245"/>
      <c r="FA66" s="245"/>
      <c r="FB66" s="245"/>
      <c r="FC66" s="245"/>
      <c r="FD66" s="245"/>
      <c r="FE66" s="245"/>
      <c r="FF66" s="245"/>
      <c r="FG66" s="245"/>
      <c r="FH66" s="245"/>
      <c r="FI66" s="245"/>
      <c r="FJ66" s="245"/>
      <c r="FK66" s="245"/>
      <c r="FL66" s="245"/>
      <c r="FM66" s="245"/>
      <c r="FN66" s="245"/>
      <c r="FO66" s="245"/>
      <c r="FP66" s="245"/>
      <c r="FQ66" s="245"/>
      <c r="FR66" s="245"/>
      <c r="FS66" s="245"/>
      <c r="FT66" s="245"/>
      <c r="FU66" s="245"/>
      <c r="FV66" s="245"/>
    </row>
    <row r="67" spans="1:178">
      <c r="A67" s="1022"/>
      <c r="B67" s="1022"/>
      <c r="C67" s="1022"/>
      <c r="D67" s="1022"/>
      <c r="E67" s="1023"/>
      <c r="F67" s="641" t="s">
        <v>192</v>
      </c>
      <c r="G67" s="784">
        <f t="shared" ref="G67:BR67" si="81">G46+G47+G48+G49+G65+G66</f>
        <v>10963975748.472149</v>
      </c>
      <c r="H67" s="784">
        <f t="shared" si="81"/>
        <v>10910792298.778091</v>
      </c>
      <c r="I67" s="784">
        <f t="shared" si="81"/>
        <v>10011767131.878319</v>
      </c>
      <c r="J67" s="784">
        <f t="shared" si="81"/>
        <v>9774166760.1423302</v>
      </c>
      <c r="K67" s="784">
        <f t="shared" si="81"/>
        <v>9713773414.9540901</v>
      </c>
      <c r="L67" s="784">
        <f t="shared" si="81"/>
        <v>9915901043.5100441</v>
      </c>
      <c r="M67" s="784">
        <f t="shared" si="81"/>
        <v>9807638579.9465218</v>
      </c>
      <c r="N67" s="784">
        <f t="shared" si="81"/>
        <v>9720219155.3301239</v>
      </c>
      <c r="O67" s="784">
        <f t="shared" si="81"/>
        <v>9504713017.3894176</v>
      </c>
      <c r="P67" s="784">
        <f t="shared" si="81"/>
        <v>9396058365.0846691</v>
      </c>
      <c r="Q67" s="784">
        <f t="shared" si="81"/>
        <v>9338263964.7095242</v>
      </c>
      <c r="R67" s="784">
        <f t="shared" si="81"/>
        <v>9064994258.7399712</v>
      </c>
      <c r="S67" s="784">
        <f t="shared" si="81"/>
        <v>9230588656.4079571</v>
      </c>
      <c r="T67" s="784">
        <f t="shared" si="81"/>
        <v>9261211144.1040897</v>
      </c>
      <c r="U67" s="784">
        <f t="shared" si="81"/>
        <v>8409912721.1098824</v>
      </c>
      <c r="V67" s="784">
        <f t="shared" si="81"/>
        <v>9093915774.7199879</v>
      </c>
      <c r="W67" s="784">
        <f t="shared" si="81"/>
        <v>7957338720.972147</v>
      </c>
      <c r="X67" s="784">
        <f t="shared" si="81"/>
        <v>8205906240.5692873</v>
      </c>
      <c r="Y67" s="784">
        <f t="shared" si="81"/>
        <v>7961637173.0714407</v>
      </c>
      <c r="Z67" s="784">
        <f t="shared" si="81"/>
        <v>8413221530.8183556</v>
      </c>
      <c r="AA67" s="784">
        <f t="shared" si="81"/>
        <v>8186002458.9702797</v>
      </c>
      <c r="AB67" s="784">
        <f t="shared" si="81"/>
        <v>8628127217.0464458</v>
      </c>
      <c r="AC67" s="784">
        <f t="shared" si="81"/>
        <v>7840584679.1669035</v>
      </c>
      <c r="AD67" s="784">
        <f t="shared" si="81"/>
        <v>7913432842.3916693</v>
      </c>
      <c r="AE67" s="784">
        <f t="shared" si="81"/>
        <v>7135600480.1923523</v>
      </c>
      <c r="AF67" s="784">
        <f t="shared" si="81"/>
        <v>8244052024.1529779</v>
      </c>
      <c r="AG67" s="784">
        <f t="shared" si="81"/>
        <v>8526032262.1735697</v>
      </c>
      <c r="AH67" s="784">
        <f t="shared" si="81"/>
        <v>9951912890.4451771</v>
      </c>
      <c r="AI67" s="784">
        <f t="shared" si="81"/>
        <v>10117529327.058641</v>
      </c>
      <c r="AJ67" s="784">
        <f t="shared" si="81"/>
        <v>10209666576.553808</v>
      </c>
      <c r="AK67" s="784">
        <f t="shared" si="81"/>
        <v>10471540397.159115</v>
      </c>
      <c r="AL67" s="784">
        <f t="shared" si="81"/>
        <v>9504870598.8191948</v>
      </c>
      <c r="AM67" s="784">
        <f t="shared" si="81"/>
        <v>9043567967.1459427</v>
      </c>
      <c r="AN67" s="784">
        <f t="shared" si="81"/>
        <v>9062470718.5233898</v>
      </c>
      <c r="AO67" s="784">
        <f t="shared" si="81"/>
        <v>8815021768.796524</v>
      </c>
      <c r="AP67" s="784">
        <f t="shared" si="81"/>
        <v>8364933329.410573</v>
      </c>
      <c r="AQ67" s="784">
        <f t="shared" si="81"/>
        <v>11487438575.729753</v>
      </c>
      <c r="AR67" s="784">
        <f t="shared" si="81"/>
        <v>11133003516.810001</v>
      </c>
      <c r="AS67" s="784">
        <f t="shared" si="81"/>
        <v>10964109538.403069</v>
      </c>
      <c r="AT67" s="784">
        <f t="shared" si="81"/>
        <v>11072343845.689741</v>
      </c>
      <c r="AU67" s="642">
        <f t="shared" si="81"/>
        <v>10549620984.13102</v>
      </c>
      <c r="AV67" s="642">
        <f t="shared" si="81"/>
        <v>10875612091.070639</v>
      </c>
      <c r="AW67" s="642">
        <f t="shared" si="81"/>
        <v>11011404316.928089</v>
      </c>
      <c r="AX67" s="642">
        <f t="shared" si="81"/>
        <v>11552448730.303848</v>
      </c>
      <c r="AY67" s="642">
        <f t="shared" si="81"/>
        <v>12294904147.488867</v>
      </c>
      <c r="AZ67" s="642">
        <f t="shared" si="81"/>
        <v>12791279540.380007</v>
      </c>
      <c r="BA67" s="642">
        <f t="shared" si="81"/>
        <v>13211196080.051769</v>
      </c>
      <c r="BB67" s="642">
        <f t="shared" si="81"/>
        <v>13864387302.16271</v>
      </c>
      <c r="BC67" s="642">
        <f t="shared" si="81"/>
        <v>13683700670.873751</v>
      </c>
      <c r="BD67" s="642">
        <f t="shared" si="81"/>
        <v>10991039312.530443</v>
      </c>
      <c r="BE67" s="642">
        <f t="shared" si="81"/>
        <v>9668986343.5782013</v>
      </c>
      <c r="BF67" s="642">
        <f t="shared" si="81"/>
        <v>9702014201.4997501</v>
      </c>
      <c r="BG67" s="642">
        <f t="shared" si="81"/>
        <v>10303698909.266357</v>
      </c>
      <c r="BH67" s="642">
        <f t="shared" si="81"/>
        <v>10672760193.597206</v>
      </c>
      <c r="BI67" s="642">
        <f t="shared" si="81"/>
        <v>11206470067.672121</v>
      </c>
      <c r="BJ67" s="642">
        <f t="shared" si="81"/>
        <v>11185705073.564266</v>
      </c>
      <c r="BK67" s="642">
        <f t="shared" si="81"/>
        <v>9743554702.7702847</v>
      </c>
      <c r="BL67" s="642">
        <f t="shared" si="81"/>
        <v>9751803183.6701698</v>
      </c>
      <c r="BM67" s="642">
        <f t="shared" si="81"/>
        <v>9502507142.3532352</v>
      </c>
      <c r="BN67" s="642">
        <f t="shared" si="81"/>
        <v>9505849907.0689602</v>
      </c>
      <c r="BO67" s="642">
        <f t="shared" si="81"/>
        <v>10209316680.266626</v>
      </c>
      <c r="BP67" s="642">
        <f t="shared" si="81"/>
        <v>10274492046.658783</v>
      </c>
      <c r="BQ67" s="642">
        <f t="shared" si="81"/>
        <v>10802587279.320469</v>
      </c>
      <c r="BR67" s="642">
        <f t="shared" si="81"/>
        <v>11288858165.649002</v>
      </c>
      <c r="BS67" s="642">
        <f t="shared" ref="BS67:CM67" si="82">BS46+BS47+BS48+BS49+BS65+BS66</f>
        <v>10420391604.038195</v>
      </c>
      <c r="BT67" s="642">
        <f t="shared" si="82"/>
        <v>8288452476.7598839</v>
      </c>
      <c r="BU67" s="642">
        <f t="shared" si="82"/>
        <v>9726148554.3638153</v>
      </c>
      <c r="BV67" s="642">
        <f t="shared" si="82"/>
        <v>9638473641.1788464</v>
      </c>
      <c r="BW67" s="642">
        <f t="shared" si="82"/>
        <v>10111795100.792431</v>
      </c>
      <c r="BX67" s="642">
        <f t="shared" si="82"/>
        <v>8599462254.0230026</v>
      </c>
      <c r="BY67" s="642">
        <f t="shared" si="82"/>
        <v>8734670375.1218567</v>
      </c>
      <c r="BZ67" s="642">
        <f t="shared" si="82"/>
        <v>8643131559.5874729</v>
      </c>
      <c r="CA67" s="642">
        <f t="shared" si="82"/>
        <v>7944618201.8167229</v>
      </c>
      <c r="CB67" s="642">
        <f t="shared" si="82"/>
        <v>8907887108.2448368</v>
      </c>
      <c r="CC67" s="642">
        <f t="shared" si="82"/>
        <v>9664648484.9255199</v>
      </c>
      <c r="CD67" s="642">
        <f t="shared" si="82"/>
        <v>10840221803.096735</v>
      </c>
      <c r="CE67" s="642">
        <f t="shared" si="82"/>
        <v>11783308681.988766</v>
      </c>
      <c r="CF67" s="642">
        <f t="shared" si="82"/>
        <v>12194456203.045145</v>
      </c>
      <c r="CG67" s="642">
        <f t="shared" si="82"/>
        <v>11519034970.890652</v>
      </c>
      <c r="CH67" s="642">
        <f t="shared" si="82"/>
        <v>11404722152.815769</v>
      </c>
      <c r="CI67" s="642">
        <f t="shared" si="82"/>
        <v>12143967343.938824</v>
      </c>
      <c r="CJ67" s="642">
        <f t="shared" si="82"/>
        <v>13209693974.895622</v>
      </c>
      <c r="CK67" s="642">
        <f t="shared" si="82"/>
        <v>13234372097.427071</v>
      </c>
      <c r="CL67" s="642">
        <f t="shared" si="82"/>
        <v>13464552670.325596</v>
      </c>
      <c r="CM67" s="642">
        <f t="shared" si="82"/>
        <v>10100552893.42239</v>
      </c>
      <c r="CN67" s="245"/>
      <c r="CO67" s="245"/>
      <c r="CP67" s="245"/>
      <c r="CQ67" s="245"/>
      <c r="CR67" s="245"/>
      <c r="CS67" s="245"/>
      <c r="CT67" s="245"/>
      <c r="CU67" s="245"/>
      <c r="CV67" s="245"/>
      <c r="CW67" s="245"/>
      <c r="CX67" s="245"/>
      <c r="CY67" s="245"/>
      <c r="CZ67" s="245"/>
      <c r="DA67" s="245"/>
      <c r="DB67" s="245"/>
      <c r="DC67" s="245"/>
      <c r="DD67" s="245"/>
      <c r="DE67" s="245"/>
      <c r="DF67" s="245"/>
      <c r="DG67" s="245"/>
      <c r="DH67" s="245"/>
      <c r="DI67" s="245"/>
      <c r="DJ67" s="245"/>
      <c r="DK67" s="245"/>
      <c r="DL67" s="245"/>
      <c r="DM67" s="245"/>
      <c r="DN67" s="245"/>
      <c r="DO67" s="245"/>
      <c r="DP67" s="245"/>
      <c r="DQ67" s="245"/>
      <c r="DR67" s="245"/>
      <c r="DS67" s="245"/>
      <c r="DT67" s="245"/>
      <c r="DU67" s="245"/>
      <c r="DV67" s="245"/>
      <c r="DW67" s="245"/>
      <c r="DX67" s="245"/>
      <c r="DY67" s="245"/>
      <c r="DZ67" s="245"/>
      <c r="EA67" s="245"/>
      <c r="EB67" s="245"/>
      <c r="EC67" s="245"/>
      <c r="ED67" s="245"/>
      <c r="EE67" s="245"/>
      <c r="EF67" s="245"/>
      <c r="EG67" s="245"/>
      <c r="EH67" s="245"/>
      <c r="EI67" s="245"/>
      <c r="EJ67" s="245"/>
      <c r="EK67" s="245"/>
      <c r="EL67" s="245"/>
      <c r="EM67" s="245"/>
      <c r="EN67" s="245"/>
      <c r="EO67" s="245"/>
      <c r="EP67" s="245"/>
      <c r="EQ67" s="245"/>
      <c r="ER67" s="245"/>
      <c r="ES67" s="245"/>
      <c r="ET67" s="245"/>
      <c r="EU67" s="245"/>
      <c r="EV67" s="245"/>
      <c r="EW67" s="245"/>
      <c r="EX67" s="245"/>
      <c r="EY67" s="245"/>
      <c r="EZ67" s="245"/>
      <c r="FA67" s="245"/>
      <c r="FB67" s="245"/>
      <c r="FC67" s="245"/>
      <c r="FD67" s="245"/>
      <c r="FE67" s="245"/>
      <c r="FF67" s="245"/>
      <c r="FG67" s="245"/>
      <c r="FH67" s="245"/>
      <c r="FI67" s="245"/>
      <c r="FJ67" s="245"/>
      <c r="FK67" s="245"/>
      <c r="FL67" s="245"/>
      <c r="FM67" s="245"/>
      <c r="FN67" s="245"/>
      <c r="FO67" s="245"/>
      <c r="FP67" s="245"/>
      <c r="FQ67" s="245"/>
      <c r="FR67" s="245"/>
      <c r="FS67" s="245"/>
      <c r="FT67" s="245"/>
      <c r="FU67" s="245"/>
      <c r="FV67" s="245"/>
    </row>
    <row r="68" spans="1:178" ht="46.5" customHeight="1">
      <c r="A68" s="1022"/>
      <c r="B68" s="1022"/>
      <c r="C68" s="1022"/>
      <c r="D68" s="1022"/>
      <c r="E68" s="1023"/>
      <c r="F68" s="724" t="s">
        <v>193</v>
      </c>
      <c r="G68" s="789">
        <f t="shared" ref="G68:BR68" si="83">G67-G54-G55</f>
        <v>7091810978.2510624</v>
      </c>
      <c r="H68" s="789">
        <f t="shared" si="83"/>
        <v>7084815251.8291359</v>
      </c>
      <c r="I68" s="789">
        <f t="shared" si="83"/>
        <v>6323862058.3661604</v>
      </c>
      <c r="J68" s="789">
        <f t="shared" si="83"/>
        <v>6111584183.892971</v>
      </c>
      <c r="K68" s="789">
        <f t="shared" si="83"/>
        <v>6094047749.103528</v>
      </c>
      <c r="L68" s="789">
        <f t="shared" si="83"/>
        <v>6209568877.3692808</v>
      </c>
      <c r="M68" s="789">
        <f t="shared" si="83"/>
        <v>6158766138.6928883</v>
      </c>
      <c r="N68" s="789">
        <f t="shared" si="83"/>
        <v>6036590790.6002321</v>
      </c>
      <c r="O68" s="789">
        <f t="shared" si="83"/>
        <v>5957871313.1917143</v>
      </c>
      <c r="P68" s="789">
        <f t="shared" si="83"/>
        <v>5818781361.19944</v>
      </c>
      <c r="Q68" s="789">
        <f t="shared" si="83"/>
        <v>5825784754.9548378</v>
      </c>
      <c r="R68" s="789">
        <f t="shared" si="83"/>
        <v>5703363944.2426262</v>
      </c>
      <c r="S68" s="789">
        <f t="shared" si="83"/>
        <v>5816532860.8498478</v>
      </c>
      <c r="T68" s="789">
        <f t="shared" si="83"/>
        <v>5851690615.7907915</v>
      </c>
      <c r="U68" s="789">
        <f t="shared" si="83"/>
        <v>5257892083.6956186</v>
      </c>
      <c r="V68" s="789">
        <f t="shared" si="83"/>
        <v>5748873676.2436628</v>
      </c>
      <c r="W68" s="789">
        <f t="shared" si="83"/>
        <v>4971132907.7757988</v>
      </c>
      <c r="X68" s="789">
        <f t="shared" si="83"/>
        <v>5165043292.2108765</v>
      </c>
      <c r="Y68" s="789">
        <f t="shared" si="83"/>
        <v>4855851693.2417603</v>
      </c>
      <c r="Z68" s="789">
        <f t="shared" si="83"/>
        <v>5247646662.9115009</v>
      </c>
      <c r="AA68" s="789">
        <f t="shared" si="83"/>
        <v>5033931674.8934746</v>
      </c>
      <c r="AB68" s="789">
        <f t="shared" si="83"/>
        <v>5350177151.8747311</v>
      </c>
      <c r="AC68" s="789">
        <f t="shared" si="83"/>
        <v>4705227717.553174</v>
      </c>
      <c r="AD68" s="789">
        <f t="shared" si="83"/>
        <v>4812396846.8359232</v>
      </c>
      <c r="AE68" s="789">
        <f t="shared" si="83"/>
        <v>4159467052.3876777</v>
      </c>
      <c r="AF68" s="789">
        <f t="shared" si="83"/>
        <v>5086131781.2569132</v>
      </c>
      <c r="AG68" s="789">
        <f t="shared" si="83"/>
        <v>5246385491.0593624</v>
      </c>
      <c r="AH68" s="789">
        <f t="shared" si="83"/>
        <v>6359671134.7182608</v>
      </c>
      <c r="AI68" s="789">
        <f t="shared" si="83"/>
        <v>6369060831.8270149</v>
      </c>
      <c r="AJ68" s="789">
        <f t="shared" si="83"/>
        <v>6507228983.1571875</v>
      </c>
      <c r="AK68" s="789">
        <f t="shared" si="83"/>
        <v>6606128846.0440197</v>
      </c>
      <c r="AL68" s="789">
        <f t="shared" si="83"/>
        <v>5853874095.2341614</v>
      </c>
      <c r="AM68" s="789">
        <f t="shared" si="83"/>
        <v>5514600699.6987562</v>
      </c>
      <c r="AN68" s="789">
        <f t="shared" si="83"/>
        <v>5509307666.4305</v>
      </c>
      <c r="AO68" s="789">
        <f t="shared" si="83"/>
        <v>5358790968.1074715</v>
      </c>
      <c r="AP68" s="789">
        <f t="shared" si="83"/>
        <v>4993675320.8630428</v>
      </c>
      <c r="AQ68" s="789">
        <f t="shared" si="83"/>
        <v>7556848486.9889822</v>
      </c>
      <c r="AR68" s="789">
        <f t="shared" si="83"/>
        <v>7357448242.7480078</v>
      </c>
      <c r="AS68" s="789">
        <f t="shared" si="83"/>
        <v>7116203479.1972589</v>
      </c>
      <c r="AT68" s="789">
        <f t="shared" si="83"/>
        <v>7127354970.6224613</v>
      </c>
      <c r="AU68" s="723">
        <f t="shared" si="83"/>
        <v>6577850227.6511965</v>
      </c>
      <c r="AV68" s="723">
        <f t="shared" si="83"/>
        <v>6815788278.4325047</v>
      </c>
      <c r="AW68" s="723">
        <f t="shared" si="83"/>
        <v>6878097809.7775497</v>
      </c>
      <c r="AX68" s="723">
        <f t="shared" si="83"/>
        <v>7249881878.8842573</v>
      </c>
      <c r="AY68" s="723">
        <f t="shared" si="83"/>
        <v>7499960900.6681376</v>
      </c>
      <c r="AZ68" s="723">
        <f t="shared" si="83"/>
        <v>7956223945.9502497</v>
      </c>
      <c r="BA68" s="723">
        <f t="shared" si="83"/>
        <v>8302065164.7993069</v>
      </c>
      <c r="BB68" s="723">
        <f t="shared" si="83"/>
        <v>8676472562.2632961</v>
      </c>
      <c r="BC68" s="723">
        <f t="shared" si="83"/>
        <v>8496857621.4244194</v>
      </c>
      <c r="BD68" s="723">
        <f t="shared" si="83"/>
        <v>6571257168.2901144</v>
      </c>
      <c r="BE68" s="723">
        <f t="shared" si="83"/>
        <v>5935326584.2128315</v>
      </c>
      <c r="BF68" s="723">
        <f t="shared" si="83"/>
        <v>6130709895.6005306</v>
      </c>
      <c r="BG68" s="723">
        <f t="shared" si="83"/>
        <v>6629683986.9402466</v>
      </c>
      <c r="BH68" s="723">
        <f t="shared" si="83"/>
        <v>6849747582.9884844</v>
      </c>
      <c r="BI68" s="723">
        <f t="shared" si="83"/>
        <v>7294672664.1572008</v>
      </c>
      <c r="BJ68" s="723">
        <f t="shared" si="83"/>
        <v>7305013989.1114702</v>
      </c>
      <c r="BK68" s="723">
        <f t="shared" si="83"/>
        <v>6090262553.4900045</v>
      </c>
      <c r="BL68" s="723">
        <f t="shared" si="83"/>
        <v>6148177756.6926069</v>
      </c>
      <c r="BM68" s="723">
        <f t="shared" si="83"/>
        <v>5831163882.915184</v>
      </c>
      <c r="BN68" s="723">
        <f t="shared" si="83"/>
        <v>5775032119.7626324</v>
      </c>
      <c r="BO68" s="723">
        <f t="shared" si="83"/>
        <v>6220456921.5799217</v>
      </c>
      <c r="BP68" s="723">
        <f t="shared" si="83"/>
        <v>6398505041.8382587</v>
      </c>
      <c r="BQ68" s="723">
        <f t="shared" si="83"/>
        <v>7066090692.2678633</v>
      </c>
      <c r="BR68" s="723">
        <f t="shared" si="83"/>
        <v>7281644079.602951</v>
      </c>
      <c r="BS68" s="723">
        <f t="shared" ref="BS68:CL68" si="84">BS67-BS54-BS55</f>
        <v>6561948984.260478</v>
      </c>
      <c r="BT68" s="723">
        <f t="shared" si="84"/>
        <v>5021685237.0458803</v>
      </c>
      <c r="BU68" s="723">
        <f t="shared" si="84"/>
        <v>6714622308.7298393</v>
      </c>
      <c r="BV68" s="723">
        <f t="shared" si="84"/>
        <v>7208027287.0679951</v>
      </c>
      <c r="BW68" s="723">
        <f t="shared" si="84"/>
        <v>7474738310.5986004</v>
      </c>
      <c r="BX68" s="723">
        <f t="shared" si="84"/>
        <v>5967778353.6141634</v>
      </c>
      <c r="BY68" s="723">
        <f t="shared" si="84"/>
        <v>5977126588.8824024</v>
      </c>
      <c r="BZ68" s="723">
        <f t="shared" si="84"/>
        <v>5758068560.2536869</v>
      </c>
      <c r="CA68" s="723">
        <f t="shared" si="84"/>
        <v>5080418641.5449438</v>
      </c>
      <c r="CB68" s="723">
        <f t="shared" si="84"/>
        <v>5674834649.1540899</v>
      </c>
      <c r="CC68" s="723">
        <f t="shared" si="84"/>
        <v>5937313260.6087112</v>
      </c>
      <c r="CD68" s="723">
        <f t="shared" si="84"/>
        <v>6844005311.9371262</v>
      </c>
      <c r="CE68" s="723">
        <f t="shared" si="84"/>
        <v>7836606642.9712143</v>
      </c>
      <c r="CF68" s="723">
        <f t="shared" si="84"/>
        <v>7992978028.7165556</v>
      </c>
      <c r="CG68" s="723">
        <f t="shared" si="84"/>
        <v>7064729395.2415085</v>
      </c>
      <c r="CH68" s="723">
        <f t="shared" si="84"/>
        <v>7013006055.9589796</v>
      </c>
      <c r="CI68" s="723">
        <f t="shared" si="84"/>
        <v>7497890418.1505566</v>
      </c>
      <c r="CJ68" s="723">
        <f t="shared" si="84"/>
        <v>8177122861.0032053</v>
      </c>
      <c r="CK68" s="723">
        <f t="shared" si="84"/>
        <v>7835357722.4879904</v>
      </c>
      <c r="CL68" s="723">
        <f t="shared" si="84"/>
        <v>8056338772.8942385</v>
      </c>
      <c r="CM68" s="651">
        <f>AVERAGE(G68:CL68)</f>
        <v>6376559087.337328</v>
      </c>
      <c r="CN68" s="245"/>
      <c r="CO68" s="245"/>
      <c r="CP68" s="245"/>
      <c r="CQ68" s="245"/>
      <c r="CR68" s="245"/>
      <c r="CS68" s="245"/>
      <c r="CT68" s="245"/>
      <c r="CU68" s="245"/>
      <c r="CV68" s="245"/>
      <c r="CW68" s="245"/>
      <c r="CX68" s="245"/>
      <c r="CY68" s="245"/>
      <c r="CZ68" s="245"/>
      <c r="DA68" s="245"/>
      <c r="DB68" s="245"/>
      <c r="DC68" s="245"/>
      <c r="DD68" s="245"/>
      <c r="DE68" s="245"/>
      <c r="DF68" s="245"/>
      <c r="DG68" s="245"/>
      <c r="DH68" s="245"/>
      <c r="DI68" s="245"/>
      <c r="DJ68" s="245"/>
      <c r="DK68" s="245"/>
      <c r="DL68" s="245"/>
      <c r="DM68" s="245"/>
      <c r="DN68" s="245"/>
      <c r="DO68" s="245"/>
      <c r="DP68" s="245"/>
      <c r="DQ68" s="245"/>
      <c r="DR68" s="245"/>
      <c r="DS68" s="245"/>
      <c r="DT68" s="245"/>
      <c r="DU68" s="245"/>
      <c r="DV68" s="245"/>
      <c r="DW68" s="245"/>
      <c r="DX68" s="245"/>
      <c r="DY68" s="245"/>
      <c r="DZ68" s="245"/>
      <c r="EA68" s="245"/>
      <c r="EB68" s="245"/>
      <c r="EC68" s="245"/>
      <c r="ED68" s="245"/>
      <c r="EE68" s="245"/>
      <c r="EF68" s="245"/>
      <c r="EG68" s="245"/>
      <c r="EH68" s="245"/>
      <c r="EI68" s="245"/>
      <c r="EJ68" s="245"/>
      <c r="EK68" s="245"/>
      <c r="EL68" s="245"/>
      <c r="EM68" s="245"/>
      <c r="EN68" s="245"/>
      <c r="EO68" s="245"/>
      <c r="EP68" s="245"/>
      <c r="EQ68" s="245"/>
      <c r="ER68" s="245"/>
      <c r="ES68" s="245"/>
      <c r="ET68" s="245"/>
      <c r="EU68" s="245"/>
      <c r="EV68" s="245"/>
      <c r="EW68" s="245"/>
      <c r="EX68" s="245"/>
      <c r="EY68" s="245"/>
      <c r="EZ68" s="245"/>
      <c r="FA68" s="245"/>
      <c r="FB68" s="245"/>
      <c r="FC68" s="245"/>
      <c r="FD68" s="245"/>
      <c r="FE68" s="245"/>
      <c r="FF68" s="245"/>
      <c r="FG68" s="245"/>
      <c r="FH68" s="245"/>
      <c r="FI68" s="245"/>
      <c r="FJ68" s="245"/>
      <c r="FK68" s="245"/>
      <c r="FL68" s="245"/>
      <c r="FM68" s="245"/>
      <c r="FN68" s="245"/>
      <c r="FO68" s="245"/>
      <c r="FP68" s="245"/>
      <c r="FQ68" s="245"/>
      <c r="FR68" s="245"/>
      <c r="FS68" s="245"/>
      <c r="FT68" s="245"/>
      <c r="FU68" s="245"/>
      <c r="FV68" s="245"/>
    </row>
    <row r="69" spans="1:178" ht="12" customHeight="1">
      <c r="A69" s="1022" t="s">
        <v>543</v>
      </c>
      <c r="B69" s="1022"/>
      <c r="C69" s="1022"/>
      <c r="D69" s="1022"/>
      <c r="E69" s="1023"/>
      <c r="F69" s="790" t="s">
        <v>347</v>
      </c>
      <c r="G69" s="791">
        <f t="shared" ref="G69:BR69" si="85">G68*G52/G16</f>
        <v>42200.116413128941</v>
      </c>
      <c r="H69" s="791">
        <f t="shared" si="85"/>
        <v>42060.210272257122</v>
      </c>
      <c r="I69" s="791">
        <f t="shared" si="85"/>
        <v>37263.119301082799</v>
      </c>
      <c r="J69" s="791">
        <f t="shared" si="85"/>
        <v>35912.11642243994</v>
      </c>
      <c r="K69" s="791">
        <f t="shared" si="85"/>
        <v>35864.360758169401</v>
      </c>
      <c r="L69" s="791">
        <f t="shared" si="85"/>
        <v>36542.070828287367</v>
      </c>
      <c r="M69" s="791">
        <f t="shared" si="85"/>
        <v>36220.811418360652</v>
      </c>
      <c r="N69" s="791">
        <f t="shared" si="85"/>
        <v>35492.60149601406</v>
      </c>
      <c r="O69" s="791">
        <f t="shared" si="85"/>
        <v>35014.50864184837</v>
      </c>
      <c r="P69" s="791">
        <f t="shared" si="85"/>
        <v>34191.205148133413</v>
      </c>
      <c r="Q69" s="791">
        <f t="shared" si="85"/>
        <v>34219.925722228734</v>
      </c>
      <c r="R69" s="791">
        <f t="shared" si="85"/>
        <v>33511.639215920703</v>
      </c>
      <c r="S69" s="791">
        <f t="shared" si="85"/>
        <v>34253.062516803489</v>
      </c>
      <c r="T69" s="791">
        <f t="shared" si="85"/>
        <v>34330.533926420831</v>
      </c>
      <c r="U69" s="791">
        <f t="shared" si="85"/>
        <v>31195.430786830857</v>
      </c>
      <c r="V69" s="791">
        <f t="shared" si="85"/>
        <v>34274.972871285296</v>
      </c>
      <c r="W69" s="791">
        <f t="shared" si="85"/>
        <v>30217.138744029446</v>
      </c>
      <c r="X69" s="791">
        <f t="shared" si="85"/>
        <v>30690.744019257363</v>
      </c>
      <c r="Y69" s="791">
        <f t="shared" si="85"/>
        <v>27892.795479564476</v>
      </c>
      <c r="Z69" s="791">
        <f t="shared" si="85"/>
        <v>30257.757640322547</v>
      </c>
      <c r="AA69" s="791">
        <f t="shared" si="85"/>
        <v>29010.418503823985</v>
      </c>
      <c r="AB69" s="791">
        <f t="shared" si="85"/>
        <v>30673.005966878231</v>
      </c>
      <c r="AC69" s="791">
        <f t="shared" si="85"/>
        <v>27470.427637847504</v>
      </c>
      <c r="AD69" s="791">
        <f t="shared" si="85"/>
        <v>27929.708303535528</v>
      </c>
      <c r="AE69" s="791">
        <f t="shared" si="85"/>
        <v>24017.629053417797</v>
      </c>
      <c r="AF69" s="791">
        <f t="shared" si="85"/>
        <v>29576.884855909251</v>
      </c>
      <c r="AG69" s="791">
        <f t="shared" si="85"/>
        <v>30477.447458558207</v>
      </c>
      <c r="AH69" s="791">
        <f t="shared" si="85"/>
        <v>36725.728062992079</v>
      </c>
      <c r="AI69" s="791">
        <f t="shared" si="85"/>
        <v>36971.626055056528</v>
      </c>
      <c r="AJ69" s="791">
        <f t="shared" si="85"/>
        <v>38414.973398914677</v>
      </c>
      <c r="AK69" s="791">
        <f t="shared" si="85"/>
        <v>38982.515783298346</v>
      </c>
      <c r="AL69" s="791">
        <f t="shared" si="85"/>
        <v>34453.907011528536</v>
      </c>
      <c r="AM69" s="791">
        <f t="shared" si="85"/>
        <v>32478.366349204854</v>
      </c>
      <c r="AN69" s="791">
        <f t="shared" si="85"/>
        <v>32523.433677585697</v>
      </c>
      <c r="AO69" s="791">
        <f t="shared" si="85"/>
        <v>30960.020182669454</v>
      </c>
      <c r="AP69" s="791">
        <f t="shared" si="85"/>
        <v>29377.748335452219</v>
      </c>
      <c r="AQ69" s="791">
        <f t="shared" si="85"/>
        <v>44826.284168498212</v>
      </c>
      <c r="AR69" s="791">
        <f t="shared" si="85"/>
        <v>43923.830519661278</v>
      </c>
      <c r="AS69" s="791">
        <f t="shared" si="85"/>
        <v>42715.977970744723</v>
      </c>
      <c r="AT69" s="791">
        <f t="shared" si="85"/>
        <v>42510.706521934218</v>
      </c>
      <c r="AU69" s="792">
        <f t="shared" si="85"/>
        <v>39462.724574058637</v>
      </c>
      <c r="AV69" s="792">
        <f t="shared" si="85"/>
        <v>41317.752524413656</v>
      </c>
      <c r="AW69" s="792">
        <f t="shared" si="85"/>
        <v>41486.979961331017</v>
      </c>
      <c r="AX69" s="792">
        <f t="shared" si="85"/>
        <v>42540.078678133003</v>
      </c>
      <c r="AY69" s="792">
        <f t="shared" si="85"/>
        <v>45093.270976477259</v>
      </c>
      <c r="AZ69" s="792">
        <f t="shared" si="85"/>
        <v>48141.692835681912</v>
      </c>
      <c r="BA69" s="792">
        <f t="shared" si="85"/>
        <v>50242.164633593769</v>
      </c>
      <c r="BB69" s="792">
        <f t="shared" si="85"/>
        <v>52251.294059201966</v>
      </c>
      <c r="BC69" s="792">
        <f t="shared" si="85"/>
        <v>49374.489349965326</v>
      </c>
      <c r="BD69" s="792">
        <f t="shared" si="85"/>
        <v>38646.251233821582</v>
      </c>
      <c r="BE69" s="792">
        <f t="shared" si="85"/>
        <v>35294.984526991029</v>
      </c>
      <c r="BF69" s="792">
        <f t="shared" si="85"/>
        <v>36484.099077876133</v>
      </c>
      <c r="BG69" s="792">
        <f t="shared" si="85"/>
        <v>39082.170154230684</v>
      </c>
      <c r="BH69" s="792">
        <f t="shared" si="85"/>
        <v>40257.410392038881</v>
      </c>
      <c r="BI69" s="792">
        <f t="shared" si="85"/>
        <v>42804.669843787233</v>
      </c>
      <c r="BJ69" s="792">
        <f t="shared" si="85"/>
        <v>42889.059087916416</v>
      </c>
      <c r="BK69" s="792">
        <f t="shared" si="85"/>
        <v>36287.565995354249</v>
      </c>
      <c r="BL69" s="792">
        <f t="shared" si="85"/>
        <v>36533.153794634622</v>
      </c>
      <c r="BM69" s="792">
        <f t="shared" si="85"/>
        <v>34878.39023342634</v>
      </c>
      <c r="BN69" s="792">
        <f t="shared" si="85"/>
        <v>34329.860524668984</v>
      </c>
      <c r="BO69" s="792">
        <f t="shared" si="85"/>
        <v>36596.209827083883</v>
      </c>
      <c r="BP69" s="792">
        <f t="shared" si="85"/>
        <v>37636.784379337223</v>
      </c>
      <c r="BQ69" s="792">
        <f t="shared" si="85"/>
        <v>41390.428340023595</v>
      </c>
      <c r="BR69" s="792">
        <f t="shared" si="85"/>
        <v>42776.901168853175</v>
      </c>
      <c r="BS69" s="792">
        <f t="shared" ref="BS69:CL69" si="86">BS68*BS52/BS16</f>
        <v>38868.78821155279</v>
      </c>
      <c r="BT69" s="792">
        <f t="shared" si="86"/>
        <v>30570.967163746085</v>
      </c>
      <c r="BU69" s="792">
        <f t="shared" si="86"/>
        <v>38858.617926028477</v>
      </c>
      <c r="BV69" s="792">
        <f t="shared" si="86"/>
        <v>42142.976394836325</v>
      </c>
      <c r="BW69" s="792">
        <f t="shared" si="86"/>
        <v>43481.79292933848</v>
      </c>
      <c r="BX69" s="792">
        <f t="shared" si="86"/>
        <v>35419.688941738226</v>
      </c>
      <c r="BY69" s="792">
        <f t="shared" si="86"/>
        <v>35501.610833893887</v>
      </c>
      <c r="BZ69" s="792">
        <f t="shared" si="86"/>
        <v>34386.650392533425</v>
      </c>
      <c r="CA69" s="792">
        <f t="shared" si="86"/>
        <v>30386.407422430962</v>
      </c>
      <c r="CB69" s="792">
        <f t="shared" si="86"/>
        <v>33453.446611230916</v>
      </c>
      <c r="CC69" s="792">
        <f t="shared" si="86"/>
        <v>34838.928760911025</v>
      </c>
      <c r="CD69" s="792">
        <f t="shared" si="86"/>
        <v>39764.777960343868</v>
      </c>
      <c r="CE69" s="792">
        <f t="shared" si="86"/>
        <v>45359.161685635416</v>
      </c>
      <c r="CF69" s="792">
        <f t="shared" si="86"/>
        <v>46121.051217839544</v>
      </c>
      <c r="CG69" s="792">
        <f t="shared" si="86"/>
        <v>40812.729371324953</v>
      </c>
      <c r="CH69" s="792">
        <f t="shared" si="86"/>
        <v>40404.56829954865</v>
      </c>
      <c r="CI69" s="792">
        <f t="shared" si="86"/>
        <v>43005.305495703549</v>
      </c>
      <c r="CJ69" s="792">
        <f t="shared" si="86"/>
        <v>46803.410074038416</v>
      </c>
      <c r="CK69" s="792">
        <f t="shared" si="86"/>
        <v>44874.924041390899</v>
      </c>
      <c r="CL69" s="792">
        <f t="shared" si="86"/>
        <v>46087.014864748511</v>
      </c>
      <c r="CM69" s="792">
        <f>AVERAGE(G69:CL69)</f>
        <v>37530.55912156681</v>
      </c>
      <c r="CN69" s="245"/>
      <c r="CO69" s="245"/>
      <c r="CP69" s="245"/>
      <c r="CQ69" s="245"/>
      <c r="CR69" s="245"/>
      <c r="CS69" s="245"/>
      <c r="CT69" s="245"/>
      <c r="CU69" s="245"/>
      <c r="CV69" s="245"/>
      <c r="CW69" s="245"/>
      <c r="CX69" s="245"/>
      <c r="CY69" s="245"/>
      <c r="CZ69" s="245"/>
      <c r="DA69" s="245"/>
      <c r="DB69" s="245"/>
      <c r="DC69" s="245"/>
      <c r="DD69" s="245"/>
      <c r="DE69" s="245"/>
      <c r="DF69" s="245"/>
      <c r="DG69" s="245"/>
      <c r="DH69" s="245"/>
      <c r="DI69" s="245"/>
      <c r="DJ69" s="245"/>
      <c r="DK69" s="245"/>
      <c r="DL69" s="245"/>
      <c r="DM69" s="245"/>
      <c r="DN69" s="245"/>
      <c r="DO69" s="245"/>
      <c r="DP69" s="245"/>
      <c r="DQ69" s="245"/>
      <c r="DR69" s="245"/>
      <c r="DS69" s="245"/>
      <c r="DT69" s="245"/>
      <c r="DU69" s="245"/>
      <c r="DV69" s="245"/>
      <c r="DW69" s="245"/>
      <c r="DX69" s="245"/>
      <c r="DY69" s="245"/>
      <c r="DZ69" s="245"/>
      <c r="EA69" s="245"/>
      <c r="EB69" s="245"/>
      <c r="EC69" s="245"/>
      <c r="ED69" s="245"/>
      <c r="EE69" s="245"/>
      <c r="EF69" s="245"/>
      <c r="EG69" s="245"/>
      <c r="EH69" s="245"/>
      <c r="EI69" s="245"/>
      <c r="EJ69" s="245"/>
      <c r="EK69" s="245"/>
      <c r="EL69" s="245"/>
      <c r="EM69" s="245"/>
      <c r="EN69" s="245"/>
      <c r="EO69" s="245"/>
      <c r="EP69" s="245"/>
      <c r="EQ69" s="245"/>
      <c r="ER69" s="245"/>
      <c r="ES69" s="245"/>
      <c r="ET69" s="245"/>
      <c r="EU69" s="245"/>
      <c r="EV69" s="245"/>
      <c r="EW69" s="245"/>
      <c r="EX69" s="245"/>
      <c r="EY69" s="245"/>
      <c r="EZ69" s="245"/>
      <c r="FA69" s="245"/>
      <c r="FB69" s="245"/>
      <c r="FC69" s="245"/>
      <c r="FD69" s="245"/>
      <c r="FE69" s="245"/>
      <c r="FF69" s="245"/>
      <c r="FG69" s="245"/>
      <c r="FH69" s="245"/>
      <c r="FI69" s="245"/>
      <c r="FJ69" s="245"/>
      <c r="FK69" s="245"/>
      <c r="FL69" s="245"/>
      <c r="FM69" s="245"/>
      <c r="FN69" s="245"/>
      <c r="FO69" s="245"/>
      <c r="FP69" s="245"/>
      <c r="FQ69" s="245"/>
      <c r="FR69" s="245"/>
      <c r="FS69" s="245"/>
      <c r="FT69" s="245"/>
      <c r="FU69" s="245"/>
      <c r="FV69" s="245"/>
    </row>
    <row r="70" spans="1:178" ht="18" customHeight="1">
      <c r="A70" s="1022" t="s">
        <v>544</v>
      </c>
      <c r="B70" s="1022"/>
      <c r="C70" s="1022"/>
      <c r="D70" s="1022"/>
      <c r="E70" s="1023"/>
      <c r="F70" s="790" t="s">
        <v>348</v>
      </c>
      <c r="G70" s="791">
        <f t="shared" ref="G70:BR70" si="87">G53*G68/G17</f>
        <v>51279.789559942372</v>
      </c>
      <c r="H70" s="791">
        <f t="shared" si="87"/>
        <v>51459.646239790723</v>
      </c>
      <c r="I70" s="791">
        <f t="shared" si="87"/>
        <v>46588.079510415817</v>
      </c>
      <c r="J70" s="791">
        <f t="shared" si="87"/>
        <v>45259.085413477413</v>
      </c>
      <c r="K70" s="791">
        <f t="shared" si="87"/>
        <v>44999.576774415393</v>
      </c>
      <c r="L70" s="791">
        <f t="shared" si="87"/>
        <v>45857.644293442885</v>
      </c>
      <c r="M70" s="791">
        <f t="shared" si="87"/>
        <v>45534.744618943841</v>
      </c>
      <c r="N70" s="791">
        <f t="shared" si="87"/>
        <v>44654.128315324597</v>
      </c>
      <c r="O70" s="791">
        <f t="shared" si="87"/>
        <v>44107.592570197245</v>
      </c>
      <c r="P70" s="791">
        <f t="shared" si="87"/>
        <v>43091.638194678701</v>
      </c>
      <c r="Q70" s="791">
        <f t="shared" si="87"/>
        <v>43172.651807928945</v>
      </c>
      <c r="R70" s="791">
        <f t="shared" si="87"/>
        <v>42240.119286779212</v>
      </c>
      <c r="S70" s="791">
        <f t="shared" si="87"/>
        <v>42898.963566074766</v>
      </c>
      <c r="T70" s="791">
        <f t="shared" si="87"/>
        <v>43462.079022356476</v>
      </c>
      <c r="U70" s="791">
        <f t="shared" si="87"/>
        <v>38234.43360857723</v>
      </c>
      <c r="V70" s="791">
        <f t="shared" si="87"/>
        <v>41414.31813133094</v>
      </c>
      <c r="W70" s="791">
        <f t="shared" si="87"/>
        <v>34453.719761286615</v>
      </c>
      <c r="X70" s="791">
        <f t="shared" si="87"/>
        <v>37450.944490937953</v>
      </c>
      <c r="Y70" s="791">
        <f t="shared" si="87"/>
        <v>37461.759326731633</v>
      </c>
      <c r="Z70" s="791">
        <f t="shared" si="87"/>
        <v>40216.053569170108</v>
      </c>
      <c r="AA70" s="791">
        <f t="shared" si="87"/>
        <v>38613.545429241974</v>
      </c>
      <c r="AB70" s="791">
        <f t="shared" si="87"/>
        <v>41414.351820001204</v>
      </c>
      <c r="AC70" s="791">
        <f t="shared" si="87"/>
        <v>35261.358214092208</v>
      </c>
      <c r="AD70" s="791">
        <f t="shared" si="87"/>
        <v>36454.672894273244</v>
      </c>
      <c r="AE70" s="791">
        <f t="shared" si="87"/>
        <v>31796.263413902474</v>
      </c>
      <c r="AF70" s="791">
        <f t="shared" si="87"/>
        <v>38391.08534777251</v>
      </c>
      <c r="AG70" s="791">
        <f t="shared" si="87"/>
        <v>39674.208722427102</v>
      </c>
      <c r="AH70" s="791">
        <f t="shared" si="87"/>
        <v>48606.722027568394</v>
      </c>
      <c r="AI70" s="791">
        <f t="shared" si="87"/>
        <v>48229.048791341469</v>
      </c>
      <c r="AJ70" s="791">
        <f t="shared" si="87"/>
        <v>47771.597480655146</v>
      </c>
      <c r="AK70" s="791">
        <f t="shared" si="87"/>
        <v>48535.886692201428</v>
      </c>
      <c r="AL70" s="791">
        <f t="shared" si="87"/>
        <v>43219.047978231916</v>
      </c>
      <c r="AM70" s="791">
        <f t="shared" si="87"/>
        <v>40664.238221806198</v>
      </c>
      <c r="AN70" s="791">
        <f t="shared" si="87"/>
        <v>40446.438482801663</v>
      </c>
      <c r="AO70" s="791">
        <f t="shared" si="87"/>
        <v>40923.833272657983</v>
      </c>
      <c r="AP70" s="791">
        <f t="shared" si="87"/>
        <v>36899.45315111032</v>
      </c>
      <c r="AQ70" s="791">
        <f t="shared" si="87"/>
        <v>54973.155032614071</v>
      </c>
      <c r="AR70" s="791">
        <f t="shared" si="87"/>
        <v>52865.198396195832</v>
      </c>
      <c r="AS70" s="791">
        <f t="shared" si="87"/>
        <v>50586.92035843122</v>
      </c>
      <c r="AT70" s="791">
        <f t="shared" si="87"/>
        <v>51304.470314600534</v>
      </c>
      <c r="AU70" s="792">
        <f t="shared" si="87"/>
        <v>46810.848313035778</v>
      </c>
      <c r="AV70" s="792">
        <f t="shared" si="87"/>
        <v>47501.581416079418</v>
      </c>
      <c r="AW70" s="792">
        <f t="shared" si="87"/>
        <v>48424.721731365185</v>
      </c>
      <c r="AX70" s="792">
        <f t="shared" si="87"/>
        <v>53831.168457801628</v>
      </c>
      <c r="AY70" s="792">
        <f t="shared" si="87"/>
        <v>53142.036447628947</v>
      </c>
      <c r="AZ70" s="792">
        <f t="shared" si="87"/>
        <v>55659.425308023761</v>
      </c>
      <c r="BA70" s="792">
        <f t="shared" si="87"/>
        <v>58060.427211235401</v>
      </c>
      <c r="BB70" s="792">
        <f t="shared" si="87"/>
        <v>61280.745258796509</v>
      </c>
      <c r="BC70" s="792">
        <f t="shared" si="87"/>
        <v>64221.371567262191</v>
      </c>
      <c r="BD70" s="792">
        <f t="shared" si="87"/>
        <v>48585.649448404802</v>
      </c>
      <c r="BE70" s="792">
        <f t="shared" si="87"/>
        <v>42972.352663770376</v>
      </c>
      <c r="BF70" s="792">
        <f t="shared" si="87"/>
        <v>44323.053543911985</v>
      </c>
      <c r="BG70" s="792">
        <f t="shared" si="87"/>
        <v>48801.201567703509</v>
      </c>
      <c r="BH70" s="792">
        <f t="shared" si="87"/>
        <v>50707.254012097874</v>
      </c>
      <c r="BI70" s="792">
        <f t="shared" si="87"/>
        <v>54159.588552729379</v>
      </c>
      <c r="BJ70" s="792">
        <f t="shared" si="87"/>
        <v>54180.779934734986</v>
      </c>
      <c r="BK70" s="792">
        <f t="shared" si="87"/>
        <v>43927.060963720949</v>
      </c>
      <c r="BL70" s="792">
        <f t="shared" si="87"/>
        <v>44578.063522455661</v>
      </c>
      <c r="BM70" s="792">
        <f t="shared" si="87"/>
        <v>41742.634183403781</v>
      </c>
      <c r="BN70" s="792">
        <f t="shared" si="87"/>
        <v>41839.74949913071</v>
      </c>
      <c r="BO70" s="792">
        <f t="shared" si="87"/>
        <v>45961.347960114683</v>
      </c>
      <c r="BP70" s="792">
        <f t="shared" si="87"/>
        <v>47293.122346454751</v>
      </c>
      <c r="BQ70" s="792">
        <f t="shared" si="87"/>
        <v>52633.495688889314</v>
      </c>
      <c r="BR70" s="792">
        <f t="shared" si="87"/>
        <v>53948.707254852226</v>
      </c>
      <c r="BS70" s="792">
        <f t="shared" ref="BS70:CL70" si="88">BS53*BS68/BS17</f>
        <v>47866.663308365314</v>
      </c>
      <c r="BT70" s="792">
        <f t="shared" si="88"/>
        <v>34694.947044164204</v>
      </c>
      <c r="BU70" s="792">
        <f t="shared" si="88"/>
        <v>51124.69237668116</v>
      </c>
      <c r="BV70" s="792">
        <f t="shared" si="88"/>
        <v>53875.659738663206</v>
      </c>
      <c r="BW70" s="792">
        <f t="shared" si="88"/>
        <v>56386.322402293219</v>
      </c>
      <c r="BX70" s="792">
        <f t="shared" si="88"/>
        <v>43367.393476320554</v>
      </c>
      <c r="BY70" s="792">
        <f t="shared" si="88"/>
        <v>43373.333017003897</v>
      </c>
      <c r="BZ70" s="792">
        <f t="shared" si="88"/>
        <v>41347.238142358998</v>
      </c>
      <c r="CA70" s="792">
        <f t="shared" si="88"/>
        <v>36371.891886232726</v>
      </c>
      <c r="CB70" s="792">
        <f t="shared" si="88"/>
        <v>41772.214022960638</v>
      </c>
      <c r="CC70" s="792">
        <f t="shared" si="88"/>
        <v>44083.797137921189</v>
      </c>
      <c r="CD70" s="792">
        <f t="shared" si="88"/>
        <v>51740.735940953156</v>
      </c>
      <c r="CE70" s="792">
        <f t="shared" si="88"/>
        <v>59649.969357462105</v>
      </c>
      <c r="CF70" s="792">
        <f t="shared" si="88"/>
        <v>61176.011406668942</v>
      </c>
      <c r="CG70" s="792">
        <f t="shared" si="88"/>
        <v>53959.246719720701</v>
      </c>
      <c r="CH70" s="792">
        <f t="shared" si="88"/>
        <v>53820.61232360686</v>
      </c>
      <c r="CI70" s="792">
        <f t="shared" si="88"/>
        <v>57994.036615342469</v>
      </c>
      <c r="CJ70" s="792">
        <f t="shared" si="88"/>
        <v>63476.88056259531</v>
      </c>
      <c r="CK70" s="792">
        <f t="shared" si="88"/>
        <v>60758.952861465237</v>
      </c>
      <c r="CL70" s="792">
        <f t="shared" si="88"/>
        <v>62598.033121310233</v>
      </c>
      <c r="CM70" s="792">
        <f>AVERAGE(G70:CL70)</f>
        <v>47077.303362135986</v>
      </c>
      <c r="CN70" s="245"/>
      <c r="CO70" s="245"/>
      <c r="CP70" s="245"/>
      <c r="CQ70" s="245"/>
      <c r="CR70" s="245"/>
      <c r="CS70" s="245"/>
      <c r="CT70" s="245"/>
      <c r="CU70" s="245"/>
      <c r="CV70" s="245"/>
      <c r="CW70" s="245"/>
      <c r="CX70" s="245"/>
      <c r="CY70" s="245"/>
      <c r="CZ70" s="245"/>
      <c r="DA70" s="245"/>
      <c r="DB70" s="245"/>
      <c r="DC70" s="245"/>
      <c r="DD70" s="245"/>
      <c r="DE70" s="245"/>
      <c r="DF70" s="245"/>
      <c r="DG70" s="245"/>
      <c r="DH70" s="245"/>
      <c r="DI70" s="245"/>
      <c r="DJ70" s="245"/>
      <c r="DK70" s="245"/>
      <c r="DL70" s="245"/>
      <c r="DM70" s="245"/>
      <c r="DN70" s="245"/>
      <c r="DO70" s="245"/>
      <c r="DP70" s="245"/>
      <c r="DQ70" s="245"/>
      <c r="DR70" s="245"/>
      <c r="DS70" s="245"/>
      <c r="DT70" s="245"/>
      <c r="DU70" s="245"/>
      <c r="DV70" s="245"/>
      <c r="DW70" s="245"/>
      <c r="DX70" s="245"/>
      <c r="DY70" s="245"/>
      <c r="DZ70" s="245"/>
      <c r="EA70" s="245"/>
      <c r="EB70" s="245"/>
      <c r="EC70" s="245"/>
      <c r="ED70" s="245"/>
      <c r="EE70" s="245"/>
      <c r="EF70" s="245"/>
      <c r="EG70" s="245"/>
      <c r="EH70" s="245"/>
      <c r="EI70" s="245"/>
      <c r="EJ70" s="245"/>
      <c r="EK70" s="245"/>
      <c r="EL70" s="245"/>
      <c r="EM70" s="245"/>
      <c r="EN70" s="245"/>
      <c r="EO70" s="245"/>
      <c r="EP70" s="245"/>
      <c r="EQ70" s="245"/>
      <c r="ER70" s="245"/>
      <c r="ES70" s="245"/>
      <c r="ET70" s="245"/>
      <c r="EU70" s="245"/>
      <c r="EV70" s="245"/>
      <c r="EW70" s="245"/>
      <c r="EX70" s="245"/>
      <c r="EY70" s="245"/>
      <c r="EZ70" s="245"/>
      <c r="FA70" s="245"/>
      <c r="FB70" s="245"/>
      <c r="FC70" s="245"/>
      <c r="FD70" s="245"/>
      <c r="FE70" s="245"/>
      <c r="FF70" s="245"/>
      <c r="FG70" s="245"/>
      <c r="FH70" s="245"/>
      <c r="FI70" s="245"/>
      <c r="FJ70" s="245"/>
      <c r="FK70" s="245"/>
      <c r="FL70" s="245"/>
      <c r="FM70" s="245"/>
      <c r="FN70" s="245"/>
      <c r="FO70" s="245"/>
      <c r="FP70" s="245"/>
      <c r="FQ70" s="245"/>
      <c r="FR70" s="245"/>
      <c r="FS70" s="245"/>
      <c r="FT70" s="245"/>
      <c r="FU70" s="245"/>
      <c r="FV70" s="245"/>
    </row>
    <row r="71" spans="1:178">
      <c r="F71" s="315"/>
      <c r="G71" s="315"/>
      <c r="H71" s="315"/>
      <c r="I71" s="315"/>
      <c r="J71" s="315"/>
      <c r="K71" s="315"/>
      <c r="L71" s="315"/>
      <c r="M71" s="315"/>
      <c r="N71" s="315"/>
      <c r="O71" s="315"/>
      <c r="P71" s="315"/>
      <c r="Q71" s="315"/>
      <c r="R71" s="315"/>
      <c r="S71" s="316"/>
      <c r="T71" s="316"/>
      <c r="U71" s="316"/>
      <c r="V71" s="316"/>
      <c r="W71" s="316"/>
      <c r="X71" s="316"/>
      <c r="Y71" s="316"/>
      <c r="Z71" s="316"/>
      <c r="AA71" s="316"/>
      <c r="AB71" s="316"/>
      <c r="AC71" s="316"/>
      <c r="AD71" s="316"/>
      <c r="AE71" s="316"/>
      <c r="AF71" s="316"/>
      <c r="AG71" s="316"/>
      <c r="AH71" s="316"/>
      <c r="AI71" s="316"/>
      <c r="AJ71" s="316"/>
      <c r="AK71" s="316"/>
      <c r="AL71" s="316"/>
      <c r="AM71" s="316"/>
      <c r="AN71" s="316"/>
      <c r="AO71" s="316"/>
      <c r="AP71" s="316"/>
      <c r="AQ71" s="316"/>
      <c r="AR71" s="316"/>
      <c r="AS71" s="316"/>
      <c r="AT71" s="317"/>
      <c r="AU71" s="318"/>
      <c r="AV71" s="318"/>
      <c r="AW71" s="318"/>
      <c r="AX71" s="318"/>
      <c r="AY71" s="318"/>
      <c r="AZ71" s="318"/>
      <c r="BA71" s="318"/>
      <c r="BB71" s="318"/>
      <c r="BC71" s="318"/>
      <c r="BD71" s="318"/>
      <c r="BE71" s="318"/>
      <c r="BF71" s="318"/>
      <c r="BG71" s="318"/>
      <c r="BH71" s="318"/>
      <c r="BI71" s="318"/>
      <c r="BJ71" s="318"/>
      <c r="BK71" s="318"/>
      <c r="BL71" s="318"/>
      <c r="BM71" s="318"/>
      <c r="BN71" s="318"/>
      <c r="BO71" s="318"/>
      <c r="BP71" s="318"/>
      <c r="BQ71" s="318"/>
      <c r="BR71" s="318"/>
      <c r="BS71" s="318"/>
      <c r="BT71" s="318"/>
      <c r="BU71" s="318"/>
      <c r="BV71" s="318"/>
      <c r="BW71" s="318"/>
      <c r="BX71" s="318"/>
      <c r="BY71" s="318"/>
      <c r="BZ71" s="318"/>
      <c r="CA71" s="318"/>
      <c r="CB71" s="318"/>
      <c r="CC71" s="318"/>
      <c r="CD71" s="318"/>
      <c r="CE71" s="318"/>
      <c r="CF71" s="318"/>
      <c r="CG71" s="318"/>
      <c r="CH71" s="318"/>
      <c r="CI71" s="318"/>
      <c r="CJ71" s="318"/>
      <c r="CK71" s="318"/>
      <c r="CL71" s="318"/>
      <c r="CM71" s="319"/>
    </row>
    <row r="72" spans="1:178">
      <c r="F72" s="320" t="s">
        <v>408</v>
      </c>
      <c r="G72" s="320"/>
      <c r="H72" s="320"/>
      <c r="I72" s="320"/>
      <c r="J72" s="320"/>
      <c r="K72" s="320"/>
      <c r="L72" s="320"/>
      <c r="M72" s="320"/>
      <c r="N72" s="320"/>
      <c r="O72" s="320"/>
      <c r="P72" s="320"/>
      <c r="Q72" s="320"/>
      <c r="R72" s="320"/>
      <c r="S72" s="321">
        <v>79308</v>
      </c>
      <c r="T72" s="321">
        <v>87844.5</v>
      </c>
      <c r="U72" s="321">
        <v>84301.2</v>
      </c>
      <c r="V72" s="321">
        <v>71658</v>
      </c>
      <c r="W72" s="321">
        <v>73467</v>
      </c>
      <c r="X72" s="321">
        <v>79317</v>
      </c>
      <c r="Y72" s="321">
        <v>83124</v>
      </c>
      <c r="Z72" s="321">
        <v>80424</v>
      </c>
      <c r="AA72" s="321">
        <v>78174</v>
      </c>
      <c r="AB72" s="321">
        <v>79992</v>
      </c>
      <c r="AC72" s="321">
        <v>80892</v>
      </c>
      <c r="AD72" s="321">
        <v>80892</v>
      </c>
      <c r="AE72" s="321">
        <v>79920</v>
      </c>
      <c r="AF72" s="321">
        <v>79920</v>
      </c>
      <c r="AG72" s="321">
        <v>79020</v>
      </c>
      <c r="AH72" s="321">
        <v>80838</v>
      </c>
      <c r="AI72" s="321">
        <v>80838</v>
      </c>
      <c r="AJ72" s="321">
        <v>81738</v>
      </c>
      <c r="AK72" s="321">
        <v>80838</v>
      </c>
      <c r="AL72" s="321">
        <v>80838</v>
      </c>
      <c r="AM72" s="321">
        <v>80838</v>
      </c>
      <c r="AN72" s="321">
        <v>80478</v>
      </c>
      <c r="AO72" s="321">
        <v>73638</v>
      </c>
      <c r="AP72" s="321">
        <v>73638</v>
      </c>
      <c r="AQ72" s="321">
        <v>73638</v>
      </c>
      <c r="AR72" s="321">
        <v>75069</v>
      </c>
      <c r="AS72" s="321">
        <v>74097</v>
      </c>
      <c r="AT72" s="322">
        <v>77120</v>
      </c>
      <c r="AU72" s="323">
        <v>78330</v>
      </c>
      <c r="AV72" s="323">
        <v>78330</v>
      </c>
      <c r="AW72" s="323">
        <v>79710</v>
      </c>
      <c r="AX72" s="323">
        <v>81840</v>
      </c>
      <c r="AY72" s="323">
        <v>82290</v>
      </c>
      <c r="AZ72" s="323">
        <v>81605</v>
      </c>
      <c r="BA72" s="323">
        <v>80450</v>
      </c>
      <c r="BB72" s="323">
        <v>82290</v>
      </c>
      <c r="BC72" s="323">
        <v>84860</v>
      </c>
      <c r="BD72" s="323">
        <v>82790</v>
      </c>
      <c r="BE72" s="323">
        <v>75410</v>
      </c>
      <c r="BF72" s="323">
        <v>75535</v>
      </c>
      <c r="BG72" s="323">
        <v>75515</v>
      </c>
      <c r="BH72" s="323">
        <v>76895</v>
      </c>
      <c r="BI72" s="323">
        <v>76895</v>
      </c>
      <c r="BJ72" s="323">
        <v>73118.75</v>
      </c>
      <c r="BK72" s="323">
        <v>69505.666666666672</v>
      </c>
      <c r="BL72" s="323">
        <v>68825</v>
      </c>
      <c r="BM72" s="323">
        <v>69518</v>
      </c>
      <c r="BN72" s="323">
        <v>66726.666666666672</v>
      </c>
      <c r="BO72" s="323">
        <v>68260</v>
      </c>
      <c r="BP72" s="323">
        <v>65340</v>
      </c>
      <c r="BQ72" s="323">
        <v>64110</v>
      </c>
      <c r="BR72" s="323">
        <v>65725</v>
      </c>
      <c r="BS72" s="323">
        <v>66420</v>
      </c>
      <c r="BT72" s="323">
        <v>66430</v>
      </c>
      <c r="BU72" s="323">
        <v>62745</v>
      </c>
      <c r="BV72" s="323">
        <v>59985</v>
      </c>
      <c r="BW72" s="323">
        <v>63743.333333333336</v>
      </c>
      <c r="BX72" s="323">
        <v>67265</v>
      </c>
      <c r="BY72" s="323">
        <v>67680</v>
      </c>
      <c r="BZ72" s="323">
        <v>68533.333333333328</v>
      </c>
      <c r="CA72" s="323">
        <v>71170</v>
      </c>
      <c r="CB72" s="323">
        <v>74566.666666666672</v>
      </c>
      <c r="CC72" s="323">
        <v>80425</v>
      </c>
      <c r="CD72" s="323">
        <v>79965</v>
      </c>
      <c r="CE72" s="323">
        <v>83513.333333333328</v>
      </c>
      <c r="CF72" s="323">
        <v>94750</v>
      </c>
      <c r="CG72" s="323">
        <v>97356.666666666672</v>
      </c>
      <c r="CH72" s="323">
        <v>88703.333333333328</v>
      </c>
      <c r="CI72" s="323">
        <v>85010</v>
      </c>
      <c r="CJ72" s="323">
        <v>87430</v>
      </c>
      <c r="CK72" s="323">
        <v>92103.333333333328</v>
      </c>
      <c r="CL72" s="323">
        <v>94270</v>
      </c>
      <c r="CM72" s="324">
        <f>AVERAGE(S72:CL72)</f>
        <v>77330.538657407393</v>
      </c>
    </row>
    <row r="73" spans="1:178">
      <c r="F73" s="325" t="s">
        <v>409</v>
      </c>
      <c r="G73" s="325"/>
      <c r="H73" s="325"/>
      <c r="I73" s="325"/>
      <c r="J73" s="325"/>
      <c r="K73" s="325"/>
      <c r="L73" s="325"/>
      <c r="M73" s="325"/>
      <c r="N73" s="325"/>
      <c r="O73" s="325"/>
      <c r="P73" s="325"/>
      <c r="Q73" s="325"/>
      <c r="R73" s="325"/>
      <c r="S73" s="326">
        <v>81045</v>
      </c>
      <c r="T73" s="326">
        <v>88461.9</v>
      </c>
      <c r="U73" s="326">
        <v>84411.9</v>
      </c>
      <c r="V73" s="326">
        <v>73836</v>
      </c>
      <c r="W73" s="326">
        <v>75195</v>
      </c>
      <c r="X73" s="326">
        <v>78795</v>
      </c>
      <c r="Y73" s="326">
        <v>81990</v>
      </c>
      <c r="Z73" s="326">
        <v>80190</v>
      </c>
      <c r="AA73" s="326">
        <v>78840</v>
      </c>
      <c r="AB73" s="326">
        <v>80235</v>
      </c>
      <c r="AC73" s="326">
        <v>80235</v>
      </c>
      <c r="AD73" s="326">
        <v>80235</v>
      </c>
      <c r="AE73" s="326">
        <v>78345</v>
      </c>
      <c r="AF73" s="326">
        <v>78345</v>
      </c>
      <c r="AG73" s="326">
        <v>76545</v>
      </c>
      <c r="AH73" s="326">
        <v>78399</v>
      </c>
      <c r="AI73" s="326">
        <v>78399</v>
      </c>
      <c r="AJ73" s="326">
        <v>78399</v>
      </c>
      <c r="AK73" s="326">
        <v>77499</v>
      </c>
      <c r="AL73" s="326">
        <v>77499</v>
      </c>
      <c r="AM73" s="326">
        <v>77499</v>
      </c>
      <c r="AN73" s="326">
        <v>74799</v>
      </c>
      <c r="AO73" s="326">
        <v>71199</v>
      </c>
      <c r="AP73" s="326">
        <v>71199</v>
      </c>
      <c r="AQ73" s="326">
        <v>72549</v>
      </c>
      <c r="AR73" s="326">
        <v>73008</v>
      </c>
      <c r="AS73" s="326">
        <v>74358</v>
      </c>
      <c r="AT73" s="327">
        <v>80539.58795362903</v>
      </c>
      <c r="AU73" s="328">
        <v>86934.170866935485</v>
      </c>
      <c r="AV73" s="328">
        <v>89341.653225806454</v>
      </c>
      <c r="AW73" s="328">
        <v>91140.766129032243</v>
      </c>
      <c r="AX73" s="328">
        <v>96099.868951612909</v>
      </c>
      <c r="AY73" s="328">
        <v>97828.508064516122</v>
      </c>
      <c r="AZ73" s="328">
        <v>97836.572580645152</v>
      </c>
      <c r="BA73" s="328">
        <v>97190.645161290318</v>
      </c>
      <c r="BB73" s="328">
        <v>97364.107862903213</v>
      </c>
      <c r="BC73" s="328">
        <v>98086.408770161288</v>
      </c>
      <c r="BD73" s="328">
        <v>93706.549059139783</v>
      </c>
      <c r="BE73" s="328">
        <v>83380.277217741939</v>
      </c>
      <c r="BF73" s="328">
        <v>81038.145161290318</v>
      </c>
      <c r="BG73" s="328">
        <v>79961.224798387091</v>
      </c>
      <c r="BH73" s="328">
        <v>79961.224798387091</v>
      </c>
      <c r="BI73" s="328">
        <v>79961.224798387091</v>
      </c>
      <c r="BJ73" s="328">
        <v>77660.846774193546</v>
      </c>
      <c r="BK73" s="328">
        <v>72853.889616935485</v>
      </c>
      <c r="BL73" s="328">
        <v>70820.866935483864</v>
      </c>
      <c r="BM73" s="328">
        <v>71429.147177419349</v>
      </c>
      <c r="BN73" s="328">
        <v>70584.057459677424</v>
      </c>
      <c r="BO73" s="328">
        <v>70105.042002688162</v>
      </c>
      <c r="BP73" s="328">
        <v>67182.930947580651</v>
      </c>
      <c r="BQ73" s="328">
        <v>66724.662298387091</v>
      </c>
      <c r="BR73" s="328">
        <v>67824.059979838712</v>
      </c>
      <c r="BS73" s="328">
        <v>68500.904737903227</v>
      </c>
      <c r="BT73" s="328">
        <v>68724.480846774197</v>
      </c>
      <c r="BU73" s="328">
        <v>66429.480846774182</v>
      </c>
      <c r="BV73" s="328">
        <v>63588.351814516129</v>
      </c>
      <c r="BW73" s="328">
        <v>66402.384072580651</v>
      </c>
      <c r="BX73" s="328">
        <v>70905.260416666657</v>
      </c>
      <c r="BY73" s="328">
        <v>72930.645161290318</v>
      </c>
      <c r="BZ73" s="328">
        <v>74167.31182795699</v>
      </c>
      <c r="CA73" s="328">
        <v>76190.645161290318</v>
      </c>
      <c r="CB73" s="328">
        <v>78563.440860215051</v>
      </c>
      <c r="CC73" s="328">
        <v>82576.774193548394</v>
      </c>
      <c r="CD73" s="328">
        <v>83057.285786290318</v>
      </c>
      <c r="CE73" s="328">
        <v>87461.036626344096</v>
      </c>
      <c r="CF73" s="328">
        <v>95744.682459677424</v>
      </c>
      <c r="CG73" s="328">
        <v>100247.4932795699</v>
      </c>
      <c r="CH73" s="328">
        <v>93822.923387096787</v>
      </c>
      <c r="CI73" s="328">
        <v>89059.213709677409</v>
      </c>
      <c r="CJ73" s="328">
        <v>89672.547043010738</v>
      </c>
      <c r="CK73" s="328">
        <v>92655.342741935485</v>
      </c>
      <c r="CL73" s="328">
        <v>93595.342741935485</v>
      </c>
      <c r="CM73" s="329">
        <f>AVERAGE(S73:CL73)</f>
        <v>80296.705365376722</v>
      </c>
    </row>
    <row r="74" spans="1:178">
      <c r="F74" s="330" t="s">
        <v>410</v>
      </c>
      <c r="G74" s="330"/>
      <c r="H74" s="330"/>
      <c r="I74" s="330"/>
      <c r="J74" s="330"/>
      <c r="K74" s="330"/>
      <c r="L74" s="330"/>
      <c r="M74" s="330"/>
      <c r="N74" s="330"/>
      <c r="O74" s="330"/>
      <c r="P74" s="330"/>
      <c r="Q74" s="330"/>
      <c r="R74" s="330"/>
      <c r="S74" s="331">
        <v>73130.399999999994</v>
      </c>
      <c r="T74" s="331">
        <v>75137.399999999994</v>
      </c>
      <c r="U74" s="331">
        <v>70196.399999999994</v>
      </c>
      <c r="V74" s="331">
        <v>67642.2</v>
      </c>
      <c r="W74" s="331">
        <v>66744</v>
      </c>
      <c r="X74" s="331">
        <v>71694.899999999994</v>
      </c>
      <c r="Y74" s="331">
        <v>73773</v>
      </c>
      <c r="Z74" s="331">
        <v>70695</v>
      </c>
      <c r="AA74" s="331">
        <v>66735</v>
      </c>
      <c r="AB74" s="331">
        <v>72495</v>
      </c>
      <c r="AC74" s="331">
        <v>71613</v>
      </c>
      <c r="AD74" s="331">
        <v>71172</v>
      </c>
      <c r="AE74" s="331">
        <v>69300</v>
      </c>
      <c r="AF74" s="331">
        <v>71055</v>
      </c>
      <c r="AG74" s="331">
        <v>71055</v>
      </c>
      <c r="AH74" s="331">
        <v>75069</v>
      </c>
      <c r="AI74" s="331">
        <v>75069</v>
      </c>
      <c r="AJ74" s="331">
        <v>78147</v>
      </c>
      <c r="AK74" s="331">
        <v>74601</v>
      </c>
      <c r="AL74" s="331">
        <v>73314</v>
      </c>
      <c r="AM74" s="331">
        <v>73314</v>
      </c>
      <c r="AN74" s="331">
        <v>71992.800000000003</v>
      </c>
      <c r="AO74" s="331">
        <v>74170.8</v>
      </c>
      <c r="AP74" s="331">
        <v>75970.8</v>
      </c>
      <c r="AQ74" s="331">
        <v>79579.8</v>
      </c>
      <c r="AR74" s="331">
        <v>78679.8</v>
      </c>
      <c r="AS74" s="331">
        <v>78679.8</v>
      </c>
      <c r="AT74" s="332">
        <v>82316.144548146898</v>
      </c>
      <c r="AU74" s="333">
        <v>87120.247838398529</v>
      </c>
      <c r="AV74" s="333">
        <v>88230.55929702321</v>
      </c>
      <c r="AW74" s="333">
        <v>88137.702676638582</v>
      </c>
      <c r="AX74" s="333">
        <v>90726.081075997456</v>
      </c>
      <c r="AY74" s="333">
        <v>93640.936364928682</v>
      </c>
      <c r="AZ74" s="333">
        <v>92952.565226764884</v>
      </c>
      <c r="BA74" s="333">
        <v>90410.936364928682</v>
      </c>
      <c r="BB74" s="333">
        <v>92250.936364928682</v>
      </c>
      <c r="BC74" s="333">
        <v>94825.936364928682</v>
      </c>
      <c r="BD74" s="333">
        <v>91827.603031595354</v>
      </c>
      <c r="BE74" s="333">
        <v>79800.936364928682</v>
      </c>
      <c r="BF74" s="333">
        <v>79925.936364928668</v>
      </c>
      <c r="BG74" s="333">
        <v>82092.565226764898</v>
      </c>
      <c r="BH74" s="333">
        <v>83705.936364928682</v>
      </c>
      <c r="BI74" s="333">
        <v>86337.244991853178</v>
      </c>
      <c r="BJ74" s="333">
        <v>88343.09322299331</v>
      </c>
      <c r="BK74" s="333">
        <v>84371.0867978694</v>
      </c>
      <c r="BL74" s="333">
        <v>82533.667556645247</v>
      </c>
      <c r="BM74" s="333">
        <v>83915.296418481477</v>
      </c>
      <c r="BN74" s="333">
        <v>85998.353851846667</v>
      </c>
      <c r="BO74" s="333">
        <v>83680.839372426868</v>
      </c>
      <c r="BP74" s="333">
        <v>78296.420131202744</v>
      </c>
      <c r="BQ74" s="333">
        <v>74908.667556645261</v>
      </c>
      <c r="BR74" s="333">
        <v>75368.667556645261</v>
      </c>
      <c r="BS74" s="333">
        <v>74755.334223311933</v>
      </c>
      <c r="BT74" s="333">
        <v>71698.667556645261</v>
      </c>
      <c r="BU74" s="333">
        <v>67093.667556645261</v>
      </c>
      <c r="BV74" s="333">
        <v>66173.667556645261</v>
      </c>
      <c r="BW74" s="333">
        <v>70296.297866503111</v>
      </c>
      <c r="BX74" s="333">
        <v>73811.225510968739</v>
      </c>
      <c r="BY74" s="333">
        <v>73104.932138219243</v>
      </c>
      <c r="BZ74" s="333">
        <v>73109.932138219243</v>
      </c>
      <c r="CA74" s="333">
        <v>76518.265471552571</v>
      </c>
      <c r="CB74" s="333">
        <v>82074.932138219243</v>
      </c>
      <c r="CC74" s="333">
        <v>90244.932138219243</v>
      </c>
      <c r="CD74" s="333">
        <v>93047.449038505991</v>
      </c>
      <c r="CE74" s="333">
        <v>98603.920574120828</v>
      </c>
      <c r="CF74" s="333">
        <v>112597.05572119531</v>
      </c>
      <c r="CG74" s="333">
        <v>112518.32981716725</v>
      </c>
      <c r="CH74" s="333">
        <v>106216.66315050058</v>
      </c>
      <c r="CI74" s="333">
        <v>98978.114255042339</v>
      </c>
      <c r="CJ74" s="333">
        <v>99434.349797459188</v>
      </c>
      <c r="CK74" s="333">
        <v>103781.54397226339</v>
      </c>
      <c r="CL74" s="333">
        <v>105181.5439722634</v>
      </c>
      <c r="CM74" s="334">
        <f>AVERAGE(S74:CL74)</f>
        <v>81416.46229897374</v>
      </c>
    </row>
    <row r="75" spans="1:178">
      <c r="F75" s="293"/>
      <c r="G75" s="294"/>
      <c r="H75" s="29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294"/>
      <c r="AS75" s="294"/>
      <c r="AT75" s="335"/>
      <c r="AU75" s="225"/>
      <c r="AV75" s="225"/>
      <c r="AW75" s="225"/>
      <c r="AX75" s="225"/>
      <c r="AY75" s="225"/>
      <c r="AZ75" s="225"/>
      <c r="BA75" s="225"/>
      <c r="BB75" s="225"/>
      <c r="BC75" s="225"/>
      <c r="BD75" s="225"/>
      <c r="BE75" s="225"/>
      <c r="BF75" s="225"/>
      <c r="BG75" s="225"/>
      <c r="BH75" s="225"/>
      <c r="BI75" s="225"/>
      <c r="BJ75" s="225"/>
      <c r="BK75" s="225"/>
      <c r="BL75" s="225"/>
      <c r="BM75" s="225"/>
      <c r="BN75" s="225"/>
      <c r="BO75" s="225"/>
      <c r="BP75" s="225"/>
      <c r="BQ75" s="225"/>
      <c r="BR75" s="225"/>
      <c r="BS75" s="225"/>
      <c r="BT75" s="225"/>
      <c r="BU75" s="225"/>
      <c r="BV75" s="225"/>
      <c r="BW75" s="225"/>
      <c r="BX75" s="225"/>
      <c r="BY75" s="225"/>
      <c r="BZ75" s="225"/>
      <c r="CA75" s="225"/>
      <c r="CB75" s="225"/>
      <c r="CC75" s="225"/>
      <c r="CD75" s="225"/>
      <c r="CE75" s="225"/>
      <c r="CF75" s="225"/>
      <c r="CG75" s="225"/>
      <c r="CH75" s="225"/>
      <c r="CI75" s="225"/>
      <c r="CJ75" s="225"/>
      <c r="CK75" s="225"/>
      <c r="CL75" s="225"/>
      <c r="CM75" s="336"/>
    </row>
    <row r="76" spans="1:178">
      <c r="A76" s="337"/>
    </row>
  </sheetData>
  <mergeCells count="14">
    <mergeCell ref="A2:A6"/>
    <mergeCell ref="A7:A11"/>
    <mergeCell ref="A12:A15"/>
    <mergeCell ref="E12:E15"/>
    <mergeCell ref="A16:A22"/>
    <mergeCell ref="E16:E22"/>
    <mergeCell ref="A69:E69"/>
    <mergeCell ref="A70:E70"/>
    <mergeCell ref="A23:A33"/>
    <mergeCell ref="A34:A40"/>
    <mergeCell ref="E34:E40"/>
    <mergeCell ref="A42:A43"/>
    <mergeCell ref="D56:D57"/>
    <mergeCell ref="A59:E68"/>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36390-7395-42B4-8D93-D461588A47C3}">
  <sheetPr codeName="Sheet3">
    <tabColor rgb="FFFFC000"/>
  </sheetPr>
  <dimension ref="A1:O43"/>
  <sheetViews>
    <sheetView showGridLines="0" topLeftCell="D1" workbookViewId="0">
      <selection activeCell="O11" sqref="O11"/>
    </sheetView>
  </sheetViews>
  <sheetFormatPr defaultRowHeight="12.75"/>
  <cols>
    <col min="1" max="1" width="24.28515625" style="1" bestFit="1" customWidth="1"/>
    <col min="2" max="2" width="20.140625" style="1" bestFit="1" customWidth="1"/>
    <col min="3" max="3" width="18.42578125" style="1" bestFit="1" customWidth="1"/>
    <col min="4" max="4" width="18.42578125" style="1" customWidth="1"/>
    <col min="5" max="5" width="36.85546875" style="1" customWidth="1"/>
    <col min="6" max="6" width="20.140625" style="1" bestFit="1" customWidth="1"/>
    <col min="7" max="7" width="22.140625" style="1" customWidth="1"/>
    <col min="8" max="8" width="12.140625" style="1" bestFit="1" customWidth="1"/>
    <col min="9" max="9" width="24.28515625" style="1" hidden="1" customWidth="1"/>
    <col min="10" max="10" width="15.28515625" style="1" hidden="1" customWidth="1"/>
    <col min="11" max="11" width="17.7109375" style="1" hidden="1" customWidth="1"/>
    <col min="12" max="12" width="9.140625" style="1"/>
    <col min="13" max="13" width="24.28515625" style="1" bestFit="1" customWidth="1"/>
    <col min="14" max="14" width="22.5703125" style="1" bestFit="1" customWidth="1"/>
    <col min="15" max="15" width="17.7109375" style="1" bestFit="1" customWidth="1"/>
    <col min="16" max="16384" width="9.140625" style="1"/>
  </cols>
  <sheetData>
    <row r="1" spans="1:15">
      <c r="A1" s="62" t="s">
        <v>458</v>
      </c>
      <c r="B1" s="1048" t="s">
        <v>159</v>
      </c>
      <c r="C1" s="1049"/>
      <c r="D1" s="72"/>
      <c r="E1" s="76" t="s">
        <v>201</v>
      </c>
      <c r="F1" s="77" t="s">
        <v>162</v>
      </c>
      <c r="G1" s="78"/>
      <c r="I1" s="76"/>
      <c r="J1" s="76" t="s">
        <v>593</v>
      </c>
      <c r="K1" s="969"/>
      <c r="M1" s="979"/>
      <c r="N1" s="980" t="s">
        <v>591</v>
      </c>
      <c r="O1" s="981"/>
    </row>
    <row r="2" spans="1:15" ht="15" customHeight="1">
      <c r="A2" s="63"/>
      <c r="B2" s="59" t="s">
        <v>162</v>
      </c>
      <c r="C2" s="64" t="s">
        <v>152</v>
      </c>
      <c r="D2" s="73"/>
      <c r="E2" s="63"/>
      <c r="G2" s="66"/>
      <c r="I2" s="63"/>
      <c r="K2" s="66"/>
      <c r="M2" s="982"/>
      <c r="N2" s="983"/>
      <c r="O2" s="984"/>
    </row>
    <row r="3" spans="1:15">
      <c r="A3" s="65" t="s">
        <v>134</v>
      </c>
      <c r="C3" s="66"/>
      <c r="E3" s="65" t="s">
        <v>134</v>
      </c>
      <c r="G3" s="66" t="s">
        <v>258</v>
      </c>
      <c r="I3" s="65" t="s">
        <v>134</v>
      </c>
      <c r="J3" s="970" t="s">
        <v>592</v>
      </c>
      <c r="K3" s="971" t="s">
        <v>152</v>
      </c>
      <c r="M3" s="985" t="s">
        <v>134</v>
      </c>
      <c r="N3" s="986" t="s">
        <v>592</v>
      </c>
      <c r="O3" s="987" t="s">
        <v>152</v>
      </c>
    </row>
    <row r="4" spans="1:15">
      <c r="A4" s="67" t="s">
        <v>149</v>
      </c>
      <c r="B4" s="58">
        <v>535</v>
      </c>
      <c r="C4" s="977">
        <f>((B4/$B$8)/$B$11)</f>
        <v>0.4870410662102741</v>
      </c>
      <c r="D4" s="74"/>
      <c r="E4" s="67" t="s">
        <v>149</v>
      </c>
      <c r="F4" s="90">
        <v>569</v>
      </c>
      <c r="G4" s="235">
        <f>F4-B4</f>
        <v>34</v>
      </c>
      <c r="I4" s="67" t="s">
        <v>149</v>
      </c>
      <c r="J4" s="970">
        <v>569</v>
      </c>
      <c r="K4" s="972">
        <v>0.42225718356684872</v>
      </c>
      <c r="M4" s="988" t="s">
        <v>149</v>
      </c>
      <c r="N4" s="989">
        <v>1080</v>
      </c>
      <c r="O4" s="990">
        <v>0.78657119051919533</v>
      </c>
    </row>
    <row r="5" spans="1:15">
      <c r="A5" s="67" t="s">
        <v>1</v>
      </c>
      <c r="B5" s="58">
        <v>1500</v>
      </c>
      <c r="C5" s="977">
        <f>((B5/$B$8)/$B$11)</f>
        <v>1.3655356996549743</v>
      </c>
      <c r="D5" s="74"/>
      <c r="E5" s="67" t="s">
        <v>1</v>
      </c>
      <c r="F5" s="90">
        <v>1611</v>
      </c>
      <c r="G5" s="235">
        <f>F5-B5</f>
        <v>111</v>
      </c>
      <c r="I5" s="67" t="s">
        <v>1</v>
      </c>
      <c r="J5" s="970">
        <v>1610.75</v>
      </c>
      <c r="K5" s="972">
        <v>1.1953440394205652</v>
      </c>
      <c r="M5" s="988" t="s">
        <v>1</v>
      </c>
      <c r="N5" s="989">
        <v>1071</v>
      </c>
      <c r="O5" s="990">
        <v>0.78001643059820203</v>
      </c>
    </row>
    <row r="6" spans="1:15">
      <c r="A6" s="67" t="s">
        <v>0</v>
      </c>
      <c r="B6" s="58">
        <v>271</v>
      </c>
      <c r="C6" s="977">
        <f>((B6/$B$8)/$B$11)</f>
        <v>0.24670678307099869</v>
      </c>
      <c r="D6" s="74"/>
      <c r="E6" s="67" t="s">
        <v>0</v>
      </c>
      <c r="F6" s="90">
        <f>271+426</f>
        <v>697</v>
      </c>
      <c r="G6" s="235">
        <f>F6-B6</f>
        <v>426</v>
      </c>
      <c r="I6" s="67" t="s">
        <v>0</v>
      </c>
      <c r="J6" s="970">
        <v>697</v>
      </c>
      <c r="K6" s="972">
        <v>0.51724649726905725</v>
      </c>
      <c r="M6" s="988" t="s">
        <v>0</v>
      </c>
      <c r="N6" s="989">
        <v>245</v>
      </c>
      <c r="O6" s="990">
        <v>0.16764295070661636</v>
      </c>
    </row>
    <row r="7" spans="1:15">
      <c r="A7" s="67" t="s">
        <v>150</v>
      </c>
      <c r="B7" s="58">
        <v>167</v>
      </c>
      <c r="C7" s="977">
        <f>((B7/$B$8)/$B$11)</f>
        <v>0.1520296412282538</v>
      </c>
      <c r="D7" s="74"/>
      <c r="E7" s="67" t="s">
        <v>150</v>
      </c>
      <c r="F7" s="90">
        <v>136</v>
      </c>
      <c r="G7" s="235">
        <f>F7-B7</f>
        <v>-31</v>
      </c>
      <c r="I7" s="67" t="s">
        <v>150</v>
      </c>
      <c r="J7" s="970">
        <v>136</v>
      </c>
      <c r="K7" s="972">
        <v>0.10092614580859653</v>
      </c>
      <c r="M7" s="988" t="s">
        <v>150</v>
      </c>
      <c r="N7" s="989">
        <v>136</v>
      </c>
      <c r="O7" s="990">
        <v>9.3058944065713564E-2</v>
      </c>
    </row>
    <row r="8" spans="1:15">
      <c r="A8" s="68" t="s">
        <v>151</v>
      </c>
      <c r="B8" s="61">
        <f>SUM(B4:B7)</f>
        <v>2473</v>
      </c>
      <c r="C8" s="69"/>
      <c r="E8" s="68" t="s">
        <v>151</v>
      </c>
      <c r="F8" s="61">
        <f>SUM(F4:F7)</f>
        <v>3013</v>
      </c>
      <c r="G8" s="69"/>
      <c r="I8" s="68" t="s">
        <v>151</v>
      </c>
      <c r="J8" s="970">
        <f>SUM(J4:J7)</f>
        <v>3012.75</v>
      </c>
      <c r="K8" s="971">
        <f>SUM(K4:K7)</f>
        <v>2.2357738660650677</v>
      </c>
      <c r="M8" s="991" t="s">
        <v>151</v>
      </c>
      <c r="N8" s="986">
        <f>SUM(N4:N7)</f>
        <v>2532</v>
      </c>
      <c r="O8" s="987">
        <f>SUM(O4:O7)</f>
        <v>1.8272895158897271</v>
      </c>
    </row>
    <row r="9" spans="1:15">
      <c r="A9" s="63"/>
      <c r="C9" s="66"/>
      <c r="E9" s="63"/>
      <c r="G9" s="66"/>
      <c r="I9" s="63"/>
      <c r="K9" s="66"/>
      <c r="M9" s="982"/>
      <c r="N9" s="983"/>
      <c r="O9" s="984"/>
    </row>
    <row r="10" spans="1:15" ht="20.25" customHeight="1">
      <c r="A10" s="155" t="s">
        <v>153</v>
      </c>
      <c r="B10" s="156" t="s">
        <v>154</v>
      </c>
      <c r="C10" s="157" t="s">
        <v>161</v>
      </c>
      <c r="D10" s="72"/>
      <c r="E10" s="155" t="s">
        <v>153</v>
      </c>
      <c r="F10" s="156" t="s">
        <v>154</v>
      </c>
      <c r="G10" s="157" t="s">
        <v>161</v>
      </c>
      <c r="H10" s="966" t="s">
        <v>459</v>
      </c>
      <c r="I10" s="155" t="s">
        <v>153</v>
      </c>
      <c r="J10" s="156" t="s">
        <v>154</v>
      </c>
      <c r="K10" s="157" t="s">
        <v>152</v>
      </c>
      <c r="M10" s="992" t="s">
        <v>153</v>
      </c>
      <c r="N10" s="993" t="s">
        <v>154</v>
      </c>
      <c r="O10" s="994" t="s">
        <v>161</v>
      </c>
    </row>
    <row r="11" spans="1:15">
      <c r="A11" s="67" t="s">
        <v>146</v>
      </c>
      <c r="B11" s="60">
        <v>0.44418520016174701</v>
      </c>
      <c r="C11" s="33">
        <f>$B$8*B11</f>
        <v>1098.4700000000003</v>
      </c>
      <c r="D11" s="75"/>
      <c r="E11" s="67" t="s">
        <v>146</v>
      </c>
      <c r="F11" s="60">
        <v>0.44727242552485269</v>
      </c>
      <c r="G11" s="33">
        <f>$F$8*F11</f>
        <v>1347.6318181063812</v>
      </c>
      <c r="H11" s="32">
        <f>G11-C11</f>
        <v>249.16181810638091</v>
      </c>
      <c r="I11" s="67" t="s">
        <v>146</v>
      </c>
      <c r="J11" s="973">
        <v>0.44727242552485302</v>
      </c>
      <c r="K11" s="974">
        <v>1</v>
      </c>
      <c r="M11" s="988" t="s">
        <v>146</v>
      </c>
      <c r="N11" s="995">
        <v>0.54227804107424959</v>
      </c>
      <c r="O11" s="987">
        <f>N11*$N$8</f>
        <v>1373.048</v>
      </c>
    </row>
    <row r="12" spans="1:15">
      <c r="A12" s="67" t="s">
        <v>2</v>
      </c>
      <c r="B12" s="60">
        <v>0.16173473513950665</v>
      </c>
      <c r="C12" s="33">
        <f t="shared" ref="C12:C21" si="0">$B$8*B12</f>
        <v>399.96999999999991</v>
      </c>
      <c r="D12" s="75"/>
      <c r="E12" s="67" t="s">
        <v>2</v>
      </c>
      <c r="F12" s="60">
        <v>0.17143299311260474</v>
      </c>
      <c r="G12" s="33">
        <f t="shared" ref="G12:G21" si="1">$F$8*F12</f>
        <v>516.52760824827806</v>
      </c>
      <c r="H12" s="32">
        <f t="shared" ref="H12:H21" si="2">G12-C12</f>
        <v>116.55760824827814</v>
      </c>
      <c r="I12" s="67" t="s">
        <v>2</v>
      </c>
      <c r="J12" s="973">
        <v>0.17143299311260474</v>
      </c>
      <c r="K12" s="974">
        <v>0.38328540578247444</v>
      </c>
      <c r="M12" s="988" t="s">
        <v>2</v>
      </c>
      <c r="N12" s="995">
        <v>0.13512796208530806</v>
      </c>
      <c r="O12" s="987">
        <f t="shared" ref="O12:O20" si="3">N12*$N$8</f>
        <v>342.14400000000001</v>
      </c>
    </row>
    <row r="13" spans="1:15">
      <c r="A13" s="67" t="s">
        <v>8</v>
      </c>
      <c r="B13" s="60">
        <v>2.3996360695511525E-2</v>
      </c>
      <c r="C13" s="33">
        <f t="shared" si="0"/>
        <v>59.343000000000004</v>
      </c>
      <c r="D13" s="75"/>
      <c r="E13" s="67" t="s">
        <v>8</v>
      </c>
      <c r="F13" s="60">
        <v>2.2352070367604348E-2</v>
      </c>
      <c r="G13" s="33">
        <f t="shared" si="1"/>
        <v>67.346788017591905</v>
      </c>
      <c r="H13" s="32">
        <f t="shared" si="2"/>
        <v>8.0037880175919014</v>
      </c>
      <c r="I13" s="67" t="s">
        <v>8</v>
      </c>
      <c r="J13" s="973">
        <v>2.2352070367604348E-2</v>
      </c>
      <c r="K13" s="974">
        <v>4.9974174780337215E-2</v>
      </c>
      <c r="M13" s="988" t="s">
        <v>8</v>
      </c>
      <c r="N13" s="995">
        <v>1.792298578199052E-2</v>
      </c>
      <c r="O13" s="987">
        <f t="shared" si="3"/>
        <v>45.380999999999993</v>
      </c>
    </row>
    <row r="14" spans="1:15">
      <c r="A14" s="67" t="s">
        <v>3</v>
      </c>
      <c r="B14" s="60">
        <v>5.2989001213101482E-2</v>
      </c>
      <c r="C14" s="33">
        <f t="shared" si="0"/>
        <v>131.04179999999997</v>
      </c>
      <c r="D14" s="75"/>
      <c r="E14" s="67" t="s">
        <v>3</v>
      </c>
      <c r="F14" s="60">
        <v>4.7020184217077404E-2</v>
      </c>
      <c r="G14" s="33">
        <f t="shared" si="1"/>
        <v>141.67181504605421</v>
      </c>
      <c r="H14" s="32">
        <f t="shared" si="2"/>
        <v>10.63001504605424</v>
      </c>
      <c r="I14" s="67" t="s">
        <v>3</v>
      </c>
      <c r="J14" s="973">
        <v>4.7020184217077404E-2</v>
      </c>
      <c r="K14" s="974">
        <v>0.10512649905010683</v>
      </c>
      <c r="M14" s="988" t="s">
        <v>3</v>
      </c>
      <c r="N14" s="995">
        <v>3.8885260663507115E-2</v>
      </c>
      <c r="O14" s="987">
        <f t="shared" si="3"/>
        <v>98.457480000000018</v>
      </c>
    </row>
    <row r="15" spans="1:15">
      <c r="A15" s="67" t="s">
        <v>155</v>
      </c>
      <c r="B15" s="60">
        <v>4.6617350384148812E-2</v>
      </c>
      <c r="C15" s="33">
        <f t="shared" si="0"/>
        <v>115.28470750000001</v>
      </c>
      <c r="D15" s="75"/>
      <c r="E15" s="67" t="s">
        <v>155</v>
      </c>
      <c r="F15" s="60">
        <v>4.1174129698780183E-2</v>
      </c>
      <c r="G15" s="33">
        <f t="shared" si="1"/>
        <v>124.0576527824247</v>
      </c>
      <c r="H15" s="32">
        <f t="shared" si="2"/>
        <v>8.7729452824246863</v>
      </c>
      <c r="I15" s="67" t="s">
        <v>155</v>
      </c>
      <c r="J15" s="973">
        <v>4.1174129698780183E-2</v>
      </c>
      <c r="K15" s="974">
        <v>9.2056043138506294E-2</v>
      </c>
      <c r="M15" s="988" t="s">
        <v>155</v>
      </c>
      <c r="N15" s="995">
        <v>4.1307898894154829E-2</v>
      </c>
      <c r="O15" s="987">
        <f t="shared" si="3"/>
        <v>104.59160000000003</v>
      </c>
    </row>
    <row r="16" spans="1:15">
      <c r="A16" s="67" t="s">
        <v>156</v>
      </c>
      <c r="B16" s="60">
        <v>5.9612626364739178E-2</v>
      </c>
      <c r="C16" s="33">
        <f t="shared" si="0"/>
        <v>147.42202499999999</v>
      </c>
      <c r="D16" s="75"/>
      <c r="E16" s="67" t="s">
        <v>156</v>
      </c>
      <c r="F16" s="60">
        <v>5.2897707244212104E-2</v>
      </c>
      <c r="G16" s="33">
        <f t="shared" si="1"/>
        <v>159.38079192681107</v>
      </c>
      <c r="H16" s="32">
        <f t="shared" si="2"/>
        <v>11.95876692681108</v>
      </c>
      <c r="I16" s="67" t="s">
        <v>156</v>
      </c>
      <c r="J16" s="973">
        <v>5.2897707244212104E-2</v>
      </c>
      <c r="K16" s="974">
        <v>0.11826731143137025</v>
      </c>
      <c r="M16" s="988" t="s">
        <v>156</v>
      </c>
      <c r="N16" s="995">
        <v>4.6662312796208534E-2</v>
      </c>
      <c r="O16" s="987">
        <f t="shared" si="3"/>
        <v>118.148976</v>
      </c>
    </row>
    <row r="17" spans="1:15">
      <c r="A17" s="67" t="s">
        <v>9</v>
      </c>
      <c r="B17" s="60">
        <v>2.2979030327537401E-2</v>
      </c>
      <c r="C17" s="33">
        <f t="shared" si="0"/>
        <v>56.827141999999995</v>
      </c>
      <c r="D17" s="75"/>
      <c r="E17" s="67" t="s">
        <v>9</v>
      </c>
      <c r="F17" s="60">
        <v>2.1811367355406192E-2</v>
      </c>
      <c r="G17" s="33">
        <f t="shared" si="1"/>
        <v>65.717649841838863</v>
      </c>
      <c r="H17" s="32">
        <f t="shared" si="2"/>
        <v>8.8905078418388683</v>
      </c>
      <c r="I17" s="67" t="s">
        <v>9</v>
      </c>
      <c r="J17" s="973">
        <v>2.1811367355406192E-2</v>
      </c>
      <c r="K17" s="974">
        <v>4.8765285116361919E-2</v>
      </c>
      <c r="M17" s="988" t="s">
        <v>9</v>
      </c>
      <c r="N17" s="995">
        <v>3.4588362085308057E-2</v>
      </c>
      <c r="O17" s="987">
        <f t="shared" si="3"/>
        <v>87.577732799999993</v>
      </c>
    </row>
    <row r="18" spans="1:15">
      <c r="A18" s="67" t="s">
        <v>157</v>
      </c>
      <c r="B18" s="60">
        <v>6.2185928022644545E-4</v>
      </c>
      <c r="C18" s="33">
        <f t="shared" si="0"/>
        <v>1.5378579999999995</v>
      </c>
      <c r="D18" s="75"/>
      <c r="E18" s="67" t="s">
        <v>157</v>
      </c>
      <c r="F18" s="60">
        <v>6.2618139573479374E-4</v>
      </c>
      <c r="G18" s="33">
        <f t="shared" si="1"/>
        <v>1.8866845453489336</v>
      </c>
      <c r="H18" s="32">
        <f t="shared" si="2"/>
        <v>0.34882654534893409</v>
      </c>
      <c r="I18" s="67" t="s">
        <v>157</v>
      </c>
      <c r="J18" s="973">
        <v>6.2618139573479374E-4</v>
      </c>
      <c r="K18" s="974">
        <v>1.4E-3</v>
      </c>
      <c r="M18" s="988" t="s">
        <v>157</v>
      </c>
      <c r="N18" s="995">
        <v>7.5918925750394944E-4</v>
      </c>
      <c r="O18" s="987">
        <f t="shared" si="3"/>
        <v>1.9222672000000001</v>
      </c>
    </row>
    <row r="19" spans="1:15">
      <c r="A19" s="67" t="s">
        <v>10</v>
      </c>
      <c r="B19" s="60">
        <v>1.7883787909421755E-2</v>
      </c>
      <c r="C19" s="33">
        <f t="shared" si="0"/>
        <v>44.2266075</v>
      </c>
      <c r="D19" s="75"/>
      <c r="E19" s="67" t="s">
        <v>10</v>
      </c>
      <c r="F19" s="60">
        <v>1.5869312173263629E-2</v>
      </c>
      <c r="G19" s="33">
        <f t="shared" si="1"/>
        <v>47.814237578043311</v>
      </c>
      <c r="H19" s="32">
        <f t="shared" si="2"/>
        <v>3.5876300780433112</v>
      </c>
      <c r="I19" s="67" t="s">
        <v>10</v>
      </c>
      <c r="J19" s="973">
        <v>1.5869312173263629E-2</v>
      </c>
      <c r="K19" s="974">
        <v>3.5480193429411069E-2</v>
      </c>
      <c r="M19" s="988" t="s">
        <v>10</v>
      </c>
      <c r="N19" s="995">
        <v>8.3992163033175353E-3</v>
      </c>
      <c r="O19" s="987">
        <f t="shared" si="3"/>
        <v>21.266815680000001</v>
      </c>
    </row>
    <row r="20" spans="1:15">
      <c r="A20" s="67" t="s">
        <v>158</v>
      </c>
      <c r="B20" s="60">
        <v>0.15316740800646989</v>
      </c>
      <c r="C20" s="33">
        <f t="shared" si="0"/>
        <v>378.78300000000002</v>
      </c>
      <c r="D20" s="75"/>
      <c r="E20" s="67" t="s">
        <v>158</v>
      </c>
      <c r="F20" s="60">
        <v>0.16039014189693798</v>
      </c>
      <c r="G20" s="33">
        <f t="shared" si="1"/>
        <v>483.25549753547415</v>
      </c>
      <c r="H20" s="32">
        <f t="shared" si="2"/>
        <v>104.47249753547413</v>
      </c>
      <c r="I20" s="67" t="s">
        <v>158</v>
      </c>
      <c r="J20" s="973">
        <v>0.16039014189693798</v>
      </c>
      <c r="K20" s="974">
        <v>0.35859608762764184</v>
      </c>
      <c r="M20" s="988" t="s">
        <v>158</v>
      </c>
      <c r="N20" s="995">
        <v>0.13600236966824641</v>
      </c>
      <c r="O20" s="987">
        <f t="shared" si="3"/>
        <v>344.35799999999995</v>
      </c>
    </row>
    <row r="21" spans="1:15">
      <c r="A21" s="70" t="s">
        <v>160</v>
      </c>
      <c r="B21" s="71">
        <v>1.6212640517590023E-2</v>
      </c>
      <c r="C21" s="89">
        <f t="shared" si="0"/>
        <v>40.093860000000127</v>
      </c>
      <c r="D21" s="75"/>
      <c r="E21" s="70" t="s">
        <v>160</v>
      </c>
      <c r="F21" s="71">
        <v>1.9153487013525899E-2</v>
      </c>
      <c r="G21" s="89">
        <f t="shared" si="1"/>
        <v>57.709456371753532</v>
      </c>
      <c r="H21" s="32">
        <f t="shared" si="2"/>
        <v>17.615596371753405</v>
      </c>
      <c r="I21" s="70" t="s">
        <v>160</v>
      </c>
      <c r="J21" s="975">
        <v>1.9153487013525899E-2</v>
      </c>
      <c r="K21" s="976">
        <v>4.282286570885787E-2</v>
      </c>
      <c r="M21" s="996" t="s">
        <v>160</v>
      </c>
      <c r="N21" s="997">
        <v>0</v>
      </c>
      <c r="O21" s="998">
        <v>0</v>
      </c>
    </row>
    <row r="26" spans="1:15" ht="13.5" thickBot="1">
      <c r="E26" s="1050" t="s">
        <v>224</v>
      </c>
      <c r="F26" s="1050"/>
      <c r="G26" s="91"/>
      <c r="H26" s="91"/>
      <c r="I26" s="91"/>
    </row>
    <row r="27" spans="1:15" ht="13.5" thickBot="1">
      <c r="E27" s="92" t="s">
        <v>4</v>
      </c>
      <c r="F27" s="93" t="s">
        <v>5</v>
      </c>
      <c r="G27" s="94" t="s">
        <v>6</v>
      </c>
      <c r="H27" s="94" t="s">
        <v>7</v>
      </c>
      <c r="I27" s="967"/>
    </row>
    <row r="28" spans="1:15" ht="13.5" thickBot="1">
      <c r="E28" s="95" t="s">
        <v>205</v>
      </c>
      <c r="F28" s="96">
        <v>0.82</v>
      </c>
      <c r="G28" s="96">
        <v>0.46</v>
      </c>
      <c r="H28" s="96">
        <v>0.33</v>
      </c>
      <c r="I28" s="23"/>
    </row>
    <row r="29" spans="1:15" ht="13.5" thickBot="1">
      <c r="E29" s="95" t="s">
        <v>206</v>
      </c>
      <c r="F29" s="96">
        <v>0.01</v>
      </c>
      <c r="G29" s="96">
        <v>0.24</v>
      </c>
      <c r="H29" s="96">
        <v>0.24</v>
      </c>
      <c r="I29" s="23"/>
    </row>
    <row r="30" spans="1:15" ht="13.5" thickBot="1">
      <c r="E30" s="97" t="s">
        <v>144</v>
      </c>
      <c r="F30" s="96">
        <v>1.35E-2</v>
      </c>
      <c r="G30" s="96">
        <v>0.02</v>
      </c>
      <c r="H30" s="96">
        <v>9.5000000000000001E-2</v>
      </c>
      <c r="I30" s="23"/>
    </row>
    <row r="31" spans="1:15" ht="13.5" thickBot="1">
      <c r="E31" s="97" t="s">
        <v>225</v>
      </c>
      <c r="F31" s="96">
        <v>3.2500000000000001E-2</v>
      </c>
      <c r="G31" s="96">
        <v>3.5000000000000003E-2</v>
      </c>
      <c r="H31" s="96">
        <v>0.31</v>
      </c>
      <c r="I31" s="23"/>
    </row>
    <row r="32" spans="1:15" ht="13.5" thickBot="1">
      <c r="E32" s="97" t="s">
        <v>8</v>
      </c>
      <c r="F32" s="96">
        <v>1.8E-3</v>
      </c>
      <c r="G32" s="96">
        <v>0.01</v>
      </c>
      <c r="H32" s="96">
        <v>0.01</v>
      </c>
      <c r="I32" s="23"/>
    </row>
    <row r="33" spans="5:9" ht="13.5" thickBot="1">
      <c r="E33" s="97" t="s">
        <v>158</v>
      </c>
      <c r="F33" s="96">
        <v>0.06</v>
      </c>
      <c r="G33" s="96">
        <v>0.22</v>
      </c>
      <c r="H33" s="96">
        <v>0.28899999999999998</v>
      </c>
      <c r="I33" s="23"/>
    </row>
    <row r="34" spans="5:9" ht="13.5" thickBot="1">
      <c r="E34" s="97" t="s">
        <v>9</v>
      </c>
      <c r="F34" s="96">
        <v>6.2199999999999998E-2</v>
      </c>
      <c r="G34" s="96">
        <v>1.4999999999999999E-2</v>
      </c>
      <c r="H34" s="96">
        <v>1.9E-2</v>
      </c>
      <c r="I34" s="23"/>
    </row>
    <row r="35" spans="5:9">
      <c r="E35" s="1051"/>
      <c r="F35" s="1051"/>
      <c r="G35" s="1046"/>
      <c r="H35" s="1046"/>
      <c r="I35" s="91"/>
    </row>
    <row r="36" spans="5:9" ht="13.5" thickBot="1">
      <c r="E36" s="1052" t="s">
        <v>226</v>
      </c>
      <c r="F36" s="1052"/>
      <c r="G36" s="1047"/>
      <c r="H36" s="1047"/>
      <c r="I36" s="91"/>
    </row>
    <row r="37" spans="5:9" ht="39" thickBot="1">
      <c r="E37" s="98" t="s">
        <v>227</v>
      </c>
      <c r="F37" s="99" t="s">
        <v>228</v>
      </c>
      <c r="G37" s="94" t="s">
        <v>229</v>
      </c>
      <c r="H37" s="100" t="s">
        <v>230</v>
      </c>
      <c r="I37" s="968"/>
    </row>
    <row r="38" spans="5:9" ht="13.5" thickBot="1">
      <c r="E38" s="101">
        <v>1</v>
      </c>
      <c r="F38" s="102" t="s">
        <v>3</v>
      </c>
      <c r="G38" s="103" t="s">
        <v>231</v>
      </c>
      <c r="H38" s="104">
        <v>0.24</v>
      </c>
      <c r="I38" s="17"/>
    </row>
    <row r="39" spans="5:9" ht="13.5" thickBot="1">
      <c r="E39" s="101">
        <v>2</v>
      </c>
      <c r="F39" s="102" t="s">
        <v>155</v>
      </c>
      <c r="G39" s="103" t="s">
        <v>232</v>
      </c>
      <c r="H39" s="104">
        <v>0.42</v>
      </c>
      <c r="I39" s="17"/>
    </row>
    <row r="40" spans="5:9" ht="13.5" thickBot="1">
      <c r="E40" s="101">
        <v>3</v>
      </c>
      <c r="F40" s="102" t="s">
        <v>156</v>
      </c>
      <c r="G40" s="103" t="s">
        <v>231</v>
      </c>
      <c r="H40" s="104">
        <v>0.27</v>
      </c>
      <c r="I40" s="17"/>
    </row>
    <row r="41" spans="5:9" ht="13.5" thickBot="1">
      <c r="E41" s="101">
        <v>4</v>
      </c>
      <c r="F41" s="102" t="s">
        <v>233</v>
      </c>
      <c r="G41" s="103" t="s">
        <v>234</v>
      </c>
      <c r="H41" s="104">
        <v>1.4</v>
      </c>
      <c r="I41" s="17"/>
    </row>
    <row r="42" spans="5:9" ht="13.5" thickBot="1">
      <c r="E42" s="101">
        <v>5</v>
      </c>
      <c r="F42" s="102" t="s">
        <v>235</v>
      </c>
      <c r="G42" s="103" t="s">
        <v>236</v>
      </c>
      <c r="H42" s="104">
        <v>0</v>
      </c>
      <c r="I42" s="17"/>
    </row>
    <row r="43" spans="5:9" ht="13.5" thickBot="1">
      <c r="E43" s="101">
        <v>6</v>
      </c>
      <c r="F43" s="102" t="s">
        <v>10</v>
      </c>
      <c r="G43" s="103" t="s">
        <v>237</v>
      </c>
      <c r="H43" s="104">
        <v>0.3</v>
      </c>
      <c r="I43" s="17"/>
    </row>
  </sheetData>
  <mergeCells count="6">
    <mergeCell ref="H35:H36"/>
    <mergeCell ref="B1:C1"/>
    <mergeCell ref="E26:F26"/>
    <mergeCell ref="E35:F35"/>
    <mergeCell ref="E36:F36"/>
    <mergeCell ref="G35:G3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3D706-D595-4C28-ACF5-243E2BCC5EDC}">
  <sheetPr codeName="Sheet23">
    <tabColor rgb="FFFFC000"/>
  </sheetPr>
  <dimension ref="A1:K21"/>
  <sheetViews>
    <sheetView showGridLines="0" zoomScale="110" zoomScaleNormal="110" workbookViewId="0">
      <pane ySplit="7" topLeftCell="A8" activePane="bottomLeft" state="frozen"/>
      <selection activeCell="F12" sqref="F12:F15"/>
      <selection pane="bottomLeft" activeCell="C26" sqref="C26"/>
    </sheetView>
  </sheetViews>
  <sheetFormatPr defaultRowHeight="11.25"/>
  <cols>
    <col min="1" max="1" width="45.85546875" style="613" bestFit="1" customWidth="1"/>
    <col min="2" max="2" width="18.5703125" style="613" bestFit="1" customWidth="1"/>
    <col min="3" max="3" width="13.140625" style="613" customWidth="1"/>
    <col min="4" max="4" width="14.7109375" style="613" customWidth="1"/>
    <col min="5" max="5" width="14.28515625" style="613" customWidth="1"/>
    <col min="6" max="6" width="15.42578125" style="613" customWidth="1"/>
    <col min="7" max="7" width="16.5703125" style="613" customWidth="1"/>
    <col min="8" max="8" width="12.85546875" style="613" customWidth="1"/>
    <col min="9" max="9" width="13" style="613" customWidth="1"/>
    <col min="10" max="10" width="13.85546875" style="613" customWidth="1"/>
    <col min="11" max="11" width="11.42578125" style="613" customWidth="1"/>
    <col min="12" max="12" width="21" style="613" bestFit="1" customWidth="1"/>
    <col min="13" max="13" width="9.140625" style="613"/>
    <col min="14" max="14" width="17.7109375" style="613" bestFit="1" customWidth="1"/>
    <col min="15" max="15" width="25" style="613" bestFit="1" customWidth="1"/>
    <col min="16" max="16" width="9.140625" style="613"/>
    <col min="17" max="17" width="17.7109375" style="613" bestFit="1" customWidth="1"/>
    <col min="18" max="18" width="21" style="613" bestFit="1" customWidth="1"/>
    <col min="19" max="19" width="9.140625" style="613"/>
    <col min="20" max="20" width="17.7109375" style="613" bestFit="1" customWidth="1"/>
    <col min="21" max="21" width="24" style="613" bestFit="1" customWidth="1"/>
    <col min="22" max="16384" width="9.140625" style="613"/>
  </cols>
  <sheetData>
    <row r="1" spans="1:11" s="611" customFormat="1" ht="16.5" customHeight="1">
      <c r="A1" s="608"/>
      <c r="B1" s="609" t="s">
        <v>146</v>
      </c>
      <c r="C1" s="610" t="s">
        <v>2</v>
      </c>
      <c r="D1" s="609" t="s">
        <v>8</v>
      </c>
      <c r="E1" s="609" t="s">
        <v>3</v>
      </c>
      <c r="F1" s="609" t="s">
        <v>155</v>
      </c>
      <c r="G1" s="609" t="s">
        <v>156</v>
      </c>
      <c r="H1" s="609" t="s">
        <v>9</v>
      </c>
      <c r="I1" s="609" t="s">
        <v>157</v>
      </c>
      <c r="J1" s="609" t="s">
        <v>10</v>
      </c>
      <c r="K1" s="609" t="s">
        <v>158</v>
      </c>
    </row>
    <row r="2" spans="1:11">
      <c r="A2" s="611" t="s">
        <v>504</v>
      </c>
      <c r="B2" s="612">
        <f>Feed!C11</f>
        <v>1098.4700000000003</v>
      </c>
      <c r="C2" s="612">
        <f>Feed!C12</f>
        <v>399.96999999999991</v>
      </c>
      <c r="D2" s="612">
        <f>Feed!C13</f>
        <v>59.343000000000004</v>
      </c>
      <c r="E2" s="612">
        <f>Feed!C14</f>
        <v>131.04179999999997</v>
      </c>
      <c r="F2" s="612">
        <f>Feed!C15</f>
        <v>115.28470750000001</v>
      </c>
      <c r="G2" s="612">
        <f>Feed!C16</f>
        <v>147.42202499999999</v>
      </c>
      <c r="H2" s="612">
        <f>Feed!C17</f>
        <v>56.827141999999995</v>
      </c>
      <c r="I2" s="612">
        <f>Feed!C18</f>
        <v>1.5378579999999995</v>
      </c>
      <c r="J2" s="612">
        <f>Feed!C19</f>
        <v>44.2266075</v>
      </c>
      <c r="K2" s="612">
        <f>Feed!C20</f>
        <v>378.78300000000002</v>
      </c>
    </row>
    <row r="3" spans="1:11">
      <c r="A3" s="611" t="s">
        <v>505</v>
      </c>
      <c r="B3" s="612">
        <v>161.19999999999999</v>
      </c>
      <c r="C3" s="612">
        <v>102</v>
      </c>
      <c r="D3" s="612"/>
      <c r="E3" s="612">
        <v>42.958200000000033</v>
      </c>
      <c r="F3" s="612"/>
      <c r="G3" s="612"/>
      <c r="H3" s="612"/>
      <c r="I3" s="612"/>
      <c r="J3" s="612"/>
      <c r="K3" s="612"/>
    </row>
    <row r="4" spans="1:11">
      <c r="A4" s="614" t="s">
        <v>151</v>
      </c>
      <c r="B4" s="612">
        <f>B3+B2</f>
        <v>1259.6700000000003</v>
      </c>
      <c r="C4" s="612">
        <f t="shared" ref="C4:K4" si="0">C3+C2</f>
        <v>501.96999999999991</v>
      </c>
      <c r="D4" s="612">
        <f t="shared" si="0"/>
        <v>59.343000000000004</v>
      </c>
      <c r="E4" s="612">
        <f t="shared" si="0"/>
        <v>174</v>
      </c>
      <c r="F4" s="612">
        <f t="shared" si="0"/>
        <v>115.28470750000001</v>
      </c>
      <c r="G4" s="612">
        <f t="shared" si="0"/>
        <v>147.42202499999999</v>
      </c>
      <c r="H4" s="612">
        <f t="shared" si="0"/>
        <v>56.827141999999995</v>
      </c>
      <c r="I4" s="612">
        <f t="shared" si="0"/>
        <v>1.5378579999999995</v>
      </c>
      <c r="J4" s="612">
        <f t="shared" si="0"/>
        <v>44.2266075</v>
      </c>
      <c r="K4" s="612">
        <f t="shared" si="0"/>
        <v>378.78300000000002</v>
      </c>
    </row>
    <row r="5" spans="1:11">
      <c r="A5" s="611"/>
      <c r="B5" s="612"/>
      <c r="C5" s="612"/>
      <c r="D5" s="612"/>
      <c r="E5" s="612"/>
      <c r="F5" s="612"/>
      <c r="G5" s="612"/>
      <c r="H5" s="612"/>
      <c r="I5" s="612"/>
      <c r="J5" s="612"/>
      <c r="K5" s="612"/>
    </row>
    <row r="6" spans="1:11">
      <c r="A6" s="611" t="s">
        <v>506</v>
      </c>
      <c r="B6" s="615">
        <f>Feed!B11</f>
        <v>0.44418520016174701</v>
      </c>
      <c r="C6" s="615">
        <f>Feed!B12</f>
        <v>0.16173473513950665</v>
      </c>
      <c r="D6" s="615">
        <f>Feed!B13</f>
        <v>2.3996360695511525E-2</v>
      </c>
      <c r="E6" s="615">
        <f>Feed!B14</f>
        <v>5.2989001213101482E-2</v>
      </c>
      <c r="F6" s="615">
        <f>Feed!B15</f>
        <v>4.6617350384148812E-2</v>
      </c>
      <c r="G6" s="615">
        <f>Feed!B16</f>
        <v>5.9612626364739178E-2</v>
      </c>
      <c r="H6" s="615">
        <f>Feed!B17</f>
        <v>2.2979030327537401E-2</v>
      </c>
      <c r="I6" s="615">
        <f>Feed!B18</f>
        <v>6.2185928022644545E-4</v>
      </c>
      <c r="J6" s="615">
        <f>Feed!B19</f>
        <v>1.7883787909421755E-2</v>
      </c>
      <c r="K6" s="615">
        <f>Feed!B20</f>
        <v>0.15316740800646989</v>
      </c>
    </row>
    <row r="7" spans="1:11">
      <c r="A7" s="611" t="s">
        <v>507</v>
      </c>
      <c r="B7" s="612">
        <f>B6*Feed!$B$8</f>
        <v>1098.4700000000003</v>
      </c>
      <c r="C7" s="612">
        <f>C6*Feed!$B$8</f>
        <v>399.96999999999991</v>
      </c>
      <c r="D7" s="612">
        <f>D6*Feed!$B$8</f>
        <v>59.343000000000004</v>
      </c>
      <c r="E7" s="612">
        <f>E6*Feed!$B$8</f>
        <v>131.04179999999997</v>
      </c>
      <c r="F7" s="612">
        <f>F6*Feed!$B$8</f>
        <v>115.28470750000001</v>
      </c>
      <c r="G7" s="612">
        <f>G6*Feed!$B$8</f>
        <v>147.42202499999999</v>
      </c>
      <c r="H7" s="612">
        <f>H6*Feed!$B$8</f>
        <v>56.827141999999995</v>
      </c>
      <c r="I7" s="612">
        <f>I6*Feed!$B$8</f>
        <v>1.5378579999999995</v>
      </c>
      <c r="J7" s="612">
        <f>J6*Feed!$B$8</f>
        <v>44.2266075</v>
      </c>
      <c r="K7" s="612">
        <f>K6*Feed!$B$8</f>
        <v>378.78300000000002</v>
      </c>
    </row>
    <row r="8" spans="1:11">
      <c r="B8" s="615">
        <v>1000</v>
      </c>
      <c r="C8" s="615">
        <f>C7*$B$8/$B$7</f>
        <v>364.11554252733333</v>
      </c>
      <c r="D8" s="615">
        <f t="shared" ref="D8:K8" si="1">D7*$B$8/$B$7</f>
        <v>54.023323349750093</v>
      </c>
      <c r="E8" s="615">
        <f t="shared" si="1"/>
        <v>119.29483736469811</v>
      </c>
      <c r="F8" s="615">
        <f t="shared" si="1"/>
        <v>104.95025581035438</v>
      </c>
      <c r="G8" s="615">
        <f t="shared" si="1"/>
        <v>134.20669203528541</v>
      </c>
      <c r="H8" s="615">
        <f t="shared" si="1"/>
        <v>51.732994073575043</v>
      </c>
      <c r="I8" s="615">
        <f t="shared" si="1"/>
        <v>1.3999999999999992</v>
      </c>
      <c r="J8" s="615">
        <f t="shared" si="1"/>
        <v>40.26200761058562</v>
      </c>
      <c r="K8" s="615">
        <f t="shared" si="1"/>
        <v>344.82780594827341</v>
      </c>
    </row>
    <row r="9" spans="1:11">
      <c r="A9" s="1053" t="s">
        <v>508</v>
      </c>
      <c r="B9" s="1053"/>
      <c r="C9" s="1053"/>
      <c r="D9" s="1053"/>
      <c r="E9" s="1053"/>
      <c r="F9" s="1053"/>
      <c r="G9" s="1053"/>
      <c r="H9" s="1053"/>
      <c r="I9" s="1053"/>
      <c r="J9" s="1053"/>
      <c r="K9" s="1053"/>
    </row>
    <row r="10" spans="1:11">
      <c r="A10" s="613" t="s">
        <v>154</v>
      </c>
      <c r="B10" s="615">
        <f>Feed!J11</f>
        <v>0.44727242552485302</v>
      </c>
      <c r="C10" s="615">
        <f>Feed!J12</f>
        <v>0.17143299311260474</v>
      </c>
      <c r="D10" s="615">
        <f>Feed!J13</f>
        <v>2.2352070367604348E-2</v>
      </c>
      <c r="E10" s="615">
        <f>Feed!J14</f>
        <v>4.7020184217077404E-2</v>
      </c>
      <c r="F10" s="615">
        <f>Feed!J15</f>
        <v>4.1174129698780183E-2</v>
      </c>
      <c r="G10" s="615">
        <f>Feed!J16</f>
        <v>5.2897707244212104E-2</v>
      </c>
      <c r="H10" s="615">
        <f>Feed!J17</f>
        <v>2.1811367355406192E-2</v>
      </c>
      <c r="I10" s="615">
        <f>Feed!J18</f>
        <v>6.2618139573479374E-4</v>
      </c>
      <c r="J10" s="615">
        <f>Feed!J19</f>
        <v>1.5869312173263629E-2</v>
      </c>
      <c r="K10" s="615">
        <f>Feed!J20</f>
        <v>0.16039014189693798</v>
      </c>
    </row>
    <row r="11" spans="1:11">
      <c r="A11" s="611" t="s">
        <v>507</v>
      </c>
      <c r="B11" s="612">
        <f>B10*Feed!$J$8</f>
        <v>1347.5200000000009</v>
      </c>
      <c r="C11" s="612">
        <f>C10*Feed!$J$8</f>
        <v>516.48474999999996</v>
      </c>
      <c r="D11" s="612">
        <f>D10*Feed!$J$8</f>
        <v>67.341200000000001</v>
      </c>
      <c r="E11" s="612">
        <f>E10*Feed!$J$8</f>
        <v>141.66005999999996</v>
      </c>
      <c r="F11" s="612">
        <f>F10*Feed!$J$8</f>
        <v>124.04735925</v>
      </c>
      <c r="G11" s="612">
        <f>G10*Feed!$J$8</f>
        <v>159.36756750000001</v>
      </c>
      <c r="H11" s="612">
        <f>H10*Feed!$J$8</f>
        <v>65.712197000000003</v>
      </c>
      <c r="I11" s="612">
        <f>I10*Feed!$J$8</f>
        <v>1.8865279999999998</v>
      </c>
      <c r="J11" s="612">
        <f>J10*Feed!$J$8</f>
        <v>47.810270250000002</v>
      </c>
      <c r="K11" s="612">
        <f>K10*Feed!$J$8</f>
        <v>483.21539999999993</v>
      </c>
    </row>
    <row r="12" spans="1:11">
      <c r="A12" s="613" t="s">
        <v>509</v>
      </c>
      <c r="B12" s="615">
        <f t="shared" ref="B12:K12" si="2">B11-B7</f>
        <v>249.05000000000064</v>
      </c>
      <c r="C12" s="615">
        <f t="shared" si="2"/>
        <v>116.51475000000005</v>
      </c>
      <c r="D12" s="615">
        <f t="shared" si="2"/>
        <v>7.9981999999999971</v>
      </c>
      <c r="E12" s="615">
        <f t="shared" si="2"/>
        <v>10.618259999999992</v>
      </c>
      <c r="F12" s="615">
        <f t="shared" si="2"/>
        <v>8.7626517499999892</v>
      </c>
      <c r="G12" s="615">
        <f t="shared" si="2"/>
        <v>11.945542500000016</v>
      </c>
      <c r="H12" s="615">
        <f t="shared" si="2"/>
        <v>8.8850550000000084</v>
      </c>
      <c r="I12" s="615">
        <f t="shared" si="2"/>
        <v>0.34867000000000026</v>
      </c>
      <c r="J12" s="615">
        <f t="shared" si="2"/>
        <v>3.583662750000002</v>
      </c>
      <c r="K12" s="615">
        <f t="shared" si="2"/>
        <v>104.43239999999992</v>
      </c>
    </row>
    <row r="13" spans="1:11">
      <c r="A13" s="613" t="s">
        <v>510</v>
      </c>
      <c r="B13" s="1004">
        <f t="shared" ref="B13:K13" si="3">(B12/B7)</f>
        <v>0.22672444399938149</v>
      </c>
      <c r="C13" s="1004">
        <f t="shared" si="3"/>
        <v>0.29130872315423673</v>
      </c>
      <c r="D13" s="1004">
        <f t="shared" si="3"/>
        <v>0.13477916519218774</v>
      </c>
      <c r="E13" s="1004">
        <f t="shared" si="3"/>
        <v>8.1029564612207672E-2</v>
      </c>
      <c r="F13" s="1004">
        <f t="shared" si="3"/>
        <v>7.6008795442361582E-2</v>
      </c>
      <c r="G13" s="1004">
        <f t="shared" si="3"/>
        <v>8.1029564612207824E-2</v>
      </c>
      <c r="H13" s="1004">
        <f t="shared" si="3"/>
        <v>0.15635231136557967</v>
      </c>
      <c r="I13" s="1004">
        <f t="shared" si="3"/>
        <v>0.22672444399938119</v>
      </c>
      <c r="J13" s="1004">
        <f t="shared" si="3"/>
        <v>8.1029564612207755E-2</v>
      </c>
      <c r="K13" s="1004">
        <f t="shared" si="3"/>
        <v>0.27570508708152136</v>
      </c>
    </row>
    <row r="14" spans="1:11">
      <c r="A14" s="611" t="s">
        <v>511</v>
      </c>
      <c r="B14" s="612">
        <f t="shared" ref="B14:K14" si="4">B11-B4</f>
        <v>87.850000000000591</v>
      </c>
      <c r="C14" s="612">
        <f>C11-C4</f>
        <v>14.514750000000049</v>
      </c>
      <c r="D14" s="612">
        <f t="shared" si="4"/>
        <v>7.9981999999999971</v>
      </c>
      <c r="E14" s="612">
        <f t="shared" si="4"/>
        <v>-32.339940000000041</v>
      </c>
      <c r="F14" s="612">
        <f t="shared" si="4"/>
        <v>8.7626517499999892</v>
      </c>
      <c r="G14" s="612">
        <f t="shared" si="4"/>
        <v>11.945542500000016</v>
      </c>
      <c r="H14" s="612">
        <f t="shared" si="4"/>
        <v>8.8850550000000084</v>
      </c>
      <c r="I14" s="612">
        <f t="shared" si="4"/>
        <v>0.34867000000000026</v>
      </c>
      <c r="J14" s="612">
        <f t="shared" si="4"/>
        <v>3.583662750000002</v>
      </c>
      <c r="K14" s="612">
        <f t="shared" si="4"/>
        <v>104.43239999999992</v>
      </c>
    </row>
    <row r="16" spans="1:11" s="965" customFormat="1">
      <c r="A16" s="1054" t="s">
        <v>590</v>
      </c>
      <c r="B16" s="1054"/>
      <c r="C16" s="1054"/>
      <c r="D16" s="1054"/>
      <c r="E16" s="1054"/>
      <c r="F16" s="1054"/>
      <c r="G16" s="1054"/>
      <c r="H16" s="1054"/>
      <c r="I16" s="1054"/>
      <c r="J16" s="1054"/>
      <c r="K16" s="1054"/>
    </row>
    <row r="17" spans="1:11" s="965" customFormat="1">
      <c r="A17" s="999" t="s">
        <v>154</v>
      </c>
      <c r="B17" s="1001">
        <f>Feed!N11</f>
        <v>0.54227804107424959</v>
      </c>
      <c r="C17" s="1001">
        <f>Feed!N12</f>
        <v>0.13512796208530806</v>
      </c>
      <c r="D17" s="1001">
        <f>Feed!N13</f>
        <v>1.792298578199052E-2</v>
      </c>
      <c r="E17" s="1001">
        <f>Feed!N14</f>
        <v>3.8885260663507115E-2</v>
      </c>
      <c r="F17" s="1001">
        <f>Feed!N15</f>
        <v>4.1307898894154829E-2</v>
      </c>
      <c r="G17" s="1001">
        <f>Feed!N16</f>
        <v>4.6662312796208534E-2</v>
      </c>
      <c r="H17" s="1001">
        <f>Feed!N17</f>
        <v>3.4588362085308057E-2</v>
      </c>
      <c r="I17" s="1001">
        <f>Feed!N18</f>
        <v>7.5918925750394944E-4</v>
      </c>
      <c r="J17" s="1001">
        <f>Feed!N19</f>
        <v>8.3992163033175353E-3</v>
      </c>
      <c r="K17" s="1001">
        <f>Feed!N20</f>
        <v>0.13600236966824641</v>
      </c>
    </row>
    <row r="18" spans="1:11" s="965" customFormat="1">
      <c r="A18" s="1000" t="s">
        <v>507</v>
      </c>
      <c r="B18" s="1002">
        <f>B17*Feed!$N$8</f>
        <v>1373.048</v>
      </c>
      <c r="C18" s="1002">
        <f>C17*Feed!$N$8</f>
        <v>342.14400000000001</v>
      </c>
      <c r="D18" s="1002">
        <f>D17*Feed!$N$8</f>
        <v>45.380999999999993</v>
      </c>
      <c r="E18" s="1002">
        <f>E17*Feed!$N$8</f>
        <v>98.457480000000018</v>
      </c>
      <c r="F18" s="1002">
        <f>F17*Feed!$N$8</f>
        <v>104.59160000000003</v>
      </c>
      <c r="G18" s="1002">
        <f>G17*Feed!$N$8</f>
        <v>118.148976</v>
      </c>
      <c r="H18" s="1002">
        <f>H17*Feed!$N$8</f>
        <v>87.577732799999993</v>
      </c>
      <c r="I18" s="1002">
        <f>I17*Feed!$N$8</f>
        <v>1.9222672000000001</v>
      </c>
      <c r="J18" s="1002">
        <f>J17*Feed!$N$8</f>
        <v>21.266815680000001</v>
      </c>
      <c r="K18" s="1002">
        <f>K17*Feed!$N$8</f>
        <v>344.35799999999995</v>
      </c>
    </row>
    <row r="19" spans="1:11" s="965" customFormat="1">
      <c r="A19" s="999" t="s">
        <v>509</v>
      </c>
      <c r="B19" s="1001">
        <f>B18-B7</f>
        <v>274.57799999999975</v>
      </c>
      <c r="C19" s="1001">
        <f t="shared" ref="C19:K19" si="5">C18-C7</f>
        <v>-57.825999999999908</v>
      </c>
      <c r="D19" s="1001">
        <f t="shared" si="5"/>
        <v>-13.96200000000001</v>
      </c>
      <c r="E19" s="1001">
        <f t="shared" si="5"/>
        <v>-32.584319999999948</v>
      </c>
      <c r="F19" s="1001">
        <f t="shared" si="5"/>
        <v>-10.693107499999982</v>
      </c>
      <c r="G19" s="1001">
        <f t="shared" si="5"/>
        <v>-29.273048999999986</v>
      </c>
      <c r="H19" s="1001">
        <f t="shared" si="5"/>
        <v>30.750590799999998</v>
      </c>
      <c r="I19" s="1001">
        <f t="shared" si="5"/>
        <v>0.38440920000000056</v>
      </c>
      <c r="J19" s="1001">
        <f t="shared" si="5"/>
        <v>-22.95979182</v>
      </c>
      <c r="K19" s="1001">
        <f t="shared" si="5"/>
        <v>-34.425000000000068</v>
      </c>
    </row>
    <row r="20" spans="1:11" s="965" customFormat="1">
      <c r="A20" s="999" t="s">
        <v>510</v>
      </c>
      <c r="B20" s="1003">
        <f>B19/B7</f>
        <v>0.24996404089324212</v>
      </c>
      <c r="C20" s="1003">
        <f t="shared" ref="C20:K20" si="6">C19/C7</f>
        <v>-0.14457584318823891</v>
      </c>
      <c r="D20" s="1003">
        <f t="shared" si="6"/>
        <v>-0.23527627521358896</v>
      </c>
      <c r="E20" s="1003">
        <f t="shared" si="6"/>
        <v>-0.24865592505597417</v>
      </c>
      <c r="F20" s="1003">
        <f t="shared" si="6"/>
        <v>-9.2753911007667528E-2</v>
      </c>
      <c r="G20" s="1003">
        <f t="shared" si="6"/>
        <v>-0.19856632005970606</v>
      </c>
      <c r="H20" s="1003">
        <f t="shared" si="6"/>
        <v>0.54112506309045072</v>
      </c>
      <c r="I20" s="1003">
        <f t="shared" si="6"/>
        <v>0.24996404089324287</v>
      </c>
      <c r="J20" s="1003">
        <f t="shared" si="6"/>
        <v>-0.51913979203582372</v>
      </c>
      <c r="K20" s="1003">
        <f t="shared" si="6"/>
        <v>-9.088317057523719E-2</v>
      </c>
    </row>
    <row r="21" spans="1:11" s="965" customFormat="1">
      <c r="A21" s="1000" t="s">
        <v>511</v>
      </c>
      <c r="B21" s="1002">
        <f>B18-B4</f>
        <v>113.3779999999997</v>
      </c>
      <c r="C21" s="1002">
        <f t="shared" ref="C21:K21" si="7">C18-C4</f>
        <v>-159.82599999999991</v>
      </c>
      <c r="D21" s="1002">
        <f t="shared" si="7"/>
        <v>-13.96200000000001</v>
      </c>
      <c r="E21" s="1002">
        <f t="shared" si="7"/>
        <v>-75.542519999999982</v>
      </c>
      <c r="F21" s="1002">
        <f t="shared" si="7"/>
        <v>-10.693107499999982</v>
      </c>
      <c r="G21" s="1002">
        <f t="shared" si="7"/>
        <v>-29.273048999999986</v>
      </c>
      <c r="H21" s="1002">
        <f t="shared" si="7"/>
        <v>30.750590799999998</v>
      </c>
      <c r="I21" s="1002">
        <f t="shared" si="7"/>
        <v>0.38440920000000056</v>
      </c>
      <c r="J21" s="1002">
        <f t="shared" si="7"/>
        <v>-22.95979182</v>
      </c>
      <c r="K21" s="1002">
        <f t="shared" si="7"/>
        <v>-34.425000000000068</v>
      </c>
    </row>
  </sheetData>
  <mergeCells count="2">
    <mergeCell ref="A9:K9"/>
    <mergeCell ref="A16:K1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11CCF-1F7E-4AC5-B774-9DF074A014AD}">
  <sheetPr codeName="Sheet27">
    <tabColor rgb="FFC00000"/>
  </sheetPr>
  <dimension ref="A1:AN31"/>
  <sheetViews>
    <sheetView showGridLines="0" workbookViewId="0">
      <selection activeCell="B7" sqref="B7"/>
    </sheetView>
  </sheetViews>
  <sheetFormatPr defaultRowHeight="12"/>
  <cols>
    <col min="1" max="1" width="30.5703125" style="241" bestFit="1" customWidth="1"/>
    <col min="2" max="3" width="19.140625" style="241" bestFit="1" customWidth="1"/>
    <col min="4" max="4" width="11.140625" style="241" bestFit="1" customWidth="1"/>
    <col min="5" max="5" width="9.85546875" style="241" bestFit="1" customWidth="1"/>
    <col min="6" max="6" width="24" style="241" customWidth="1"/>
    <col min="7" max="7" width="29.140625" style="241" bestFit="1" customWidth="1"/>
    <col min="8" max="8" width="15.140625" style="241" customWidth="1"/>
    <col min="9" max="9" width="12.28515625" style="241" bestFit="1" customWidth="1"/>
    <col min="10" max="10" width="10.7109375" style="241" customWidth="1"/>
    <col min="11" max="11" width="10.5703125" style="241" customWidth="1"/>
    <col min="12" max="13" width="9.28515625" style="241" bestFit="1" customWidth="1"/>
    <col min="14" max="14" width="12.7109375" style="241" bestFit="1" customWidth="1"/>
    <col min="15" max="19" width="12.5703125" style="241" customWidth="1"/>
    <col min="20" max="20" width="9.140625" style="241"/>
    <col min="21" max="21" width="0" style="241" hidden="1" customWidth="1"/>
    <col min="22" max="22" width="12.5703125" style="248" hidden="1" customWidth="1"/>
    <col min="23" max="24" width="9.140625" style="248" hidden="1" customWidth="1"/>
    <col min="25" max="25" width="11.7109375" style="248" hidden="1" customWidth="1"/>
    <col min="26" max="40" width="9.140625" style="248" hidden="1" customWidth="1"/>
    <col min="41" max="41" width="0" style="241" hidden="1" customWidth="1"/>
    <col min="42" max="16384" width="9.140625" style="241"/>
  </cols>
  <sheetData>
    <row r="1" spans="1:40">
      <c r="V1" s="251">
        <v>11.5</v>
      </c>
      <c r="W1" s="248">
        <v>-492.31201210176187</v>
      </c>
      <c r="Y1" s="251">
        <v>11.5</v>
      </c>
      <c r="Z1" s="248">
        <v>65.862694629500311</v>
      </c>
      <c r="AB1" s="251">
        <v>11.5</v>
      </c>
      <c r="AC1" s="248">
        <v>122.45329858203831</v>
      </c>
      <c r="AG1" s="251">
        <v>11.5</v>
      </c>
      <c r="AH1" s="248">
        <v>3606.755748955974</v>
      </c>
      <c r="AJ1" s="251">
        <v>11.5</v>
      </c>
      <c r="AK1" s="248">
        <v>3550.165145003436</v>
      </c>
      <c r="AM1" s="251">
        <v>11.5</v>
      </c>
      <c r="AN1" s="248">
        <v>2991.9904382721738</v>
      </c>
    </row>
    <row r="2" spans="1:40">
      <c r="A2" s="252" t="s">
        <v>361</v>
      </c>
      <c r="G2" s="252" t="s">
        <v>594</v>
      </c>
      <c r="V2" s="251">
        <v>12</v>
      </c>
      <c r="W2" s="248">
        <v>-560.28072146136765</v>
      </c>
      <c r="Y2" s="251">
        <v>12</v>
      </c>
      <c r="Z2" s="248">
        <v>-28.368635419760267</v>
      </c>
      <c r="AB2" s="251">
        <v>12</v>
      </c>
      <c r="AC2" s="248">
        <v>12.848301537703719</v>
      </c>
      <c r="AG2" s="251">
        <v>12</v>
      </c>
      <c r="AH2" s="248">
        <v>3497.1507519116394</v>
      </c>
      <c r="AJ2" s="251">
        <v>12</v>
      </c>
      <c r="AK2" s="248">
        <v>3455.9338149541754</v>
      </c>
      <c r="AM2" s="251">
        <v>12</v>
      </c>
      <c r="AN2" s="248">
        <v>2924.0217289125681</v>
      </c>
    </row>
    <row r="3" spans="1:40">
      <c r="A3" s="246" t="s">
        <v>4</v>
      </c>
      <c r="B3" s="247" t="s">
        <v>165</v>
      </c>
      <c r="C3" s="247" t="s">
        <v>166</v>
      </c>
      <c r="D3" s="247" t="s">
        <v>167</v>
      </c>
      <c r="E3" s="247" t="s">
        <v>1</v>
      </c>
      <c r="F3" s="253"/>
      <c r="G3" s="246" t="s">
        <v>4</v>
      </c>
      <c r="H3" s="247" t="s">
        <v>165</v>
      </c>
      <c r="I3" s="247" t="s">
        <v>166</v>
      </c>
      <c r="J3" s="247" t="s">
        <v>167</v>
      </c>
      <c r="K3" s="247" t="s">
        <v>1</v>
      </c>
      <c r="V3" s="251">
        <v>12.5</v>
      </c>
      <c r="W3" s="248">
        <v>-628.24943082097343</v>
      </c>
      <c r="Y3" s="251">
        <v>12.5</v>
      </c>
      <c r="Z3" s="248">
        <v>-122.59996546902266</v>
      </c>
      <c r="AB3" s="251">
        <v>12.5</v>
      </c>
      <c r="AC3" s="248">
        <v>-96.756695506630876</v>
      </c>
      <c r="AG3" s="251">
        <v>12.5</v>
      </c>
      <c r="AH3" s="248">
        <v>3387.5457548673048</v>
      </c>
      <c r="AJ3" s="251">
        <v>12.5</v>
      </c>
      <c r="AK3" s="248">
        <v>3361.702484904913</v>
      </c>
      <c r="AM3" s="251">
        <v>12.5</v>
      </c>
      <c r="AN3" s="248">
        <v>2856.0530195529623</v>
      </c>
    </row>
    <row r="4" spans="1:40">
      <c r="A4" s="249" t="s">
        <v>205</v>
      </c>
      <c r="B4" s="254">
        <v>0.82</v>
      </c>
      <c r="C4" s="255">
        <v>0.46</v>
      </c>
      <c r="D4" s="254">
        <v>0.33</v>
      </c>
      <c r="E4" s="254">
        <v>0.32</v>
      </c>
      <c r="G4" s="249" t="s">
        <v>205</v>
      </c>
      <c r="H4" s="256">
        <v>0.82</v>
      </c>
      <c r="I4" s="256">
        <v>0.46</v>
      </c>
      <c r="J4" s="256">
        <v>0.33</v>
      </c>
      <c r="K4" s="256">
        <v>0.308</v>
      </c>
      <c r="L4" s="250"/>
      <c r="M4" s="250"/>
      <c r="N4" s="250"/>
      <c r="O4" s="250"/>
      <c r="P4" s="250"/>
      <c r="Q4" s="250"/>
      <c r="R4" s="250"/>
      <c r="S4" s="250"/>
      <c r="V4" s="251">
        <v>13</v>
      </c>
      <c r="W4" s="248">
        <v>-696.21814018057921</v>
      </c>
      <c r="Y4" s="251">
        <v>13</v>
      </c>
      <c r="Z4" s="248">
        <v>-216.83129551828324</v>
      </c>
      <c r="AB4" s="251">
        <v>13</v>
      </c>
      <c r="AC4" s="248">
        <v>-206.36169255096547</v>
      </c>
      <c r="AG4" s="251">
        <v>13</v>
      </c>
      <c r="AH4" s="248">
        <v>3277.9407578229702</v>
      </c>
      <c r="AJ4" s="251">
        <v>13</v>
      </c>
      <c r="AK4" s="248">
        <v>3267.4711548556525</v>
      </c>
      <c r="AM4" s="251">
        <v>13</v>
      </c>
      <c r="AN4" s="248">
        <v>2788.0843101933565</v>
      </c>
    </row>
    <row r="5" spans="1:40">
      <c r="A5" s="249" t="s">
        <v>206</v>
      </c>
      <c r="B5" s="254">
        <v>0.01</v>
      </c>
      <c r="C5" s="255">
        <v>0.24</v>
      </c>
      <c r="D5" s="254">
        <v>0.24</v>
      </c>
      <c r="E5" s="254">
        <v>0.193</v>
      </c>
      <c r="G5" s="249" t="s">
        <v>206</v>
      </c>
      <c r="H5" s="256">
        <v>0.01</v>
      </c>
      <c r="I5" s="256">
        <v>0.24</v>
      </c>
      <c r="J5" s="256">
        <v>0.24</v>
      </c>
      <c r="K5" s="256">
        <v>0.224</v>
      </c>
      <c r="L5" s="250"/>
      <c r="M5" s="250"/>
      <c r="N5" s="250"/>
      <c r="O5" s="250"/>
      <c r="P5" s="250"/>
      <c r="Q5" s="250"/>
      <c r="R5" s="250"/>
      <c r="S5" s="250"/>
      <c r="V5" s="251">
        <v>13.5</v>
      </c>
      <c r="W5" s="248">
        <v>-764.1868495401859</v>
      </c>
      <c r="Y5" s="251">
        <v>13.5</v>
      </c>
      <c r="Z5" s="248">
        <v>-311.06262556754564</v>
      </c>
      <c r="AB5" s="251">
        <v>13.5</v>
      </c>
      <c r="AC5" s="248">
        <v>-315.96668959530007</v>
      </c>
      <c r="AG5" s="251">
        <v>13.5</v>
      </c>
      <c r="AH5" s="248">
        <v>3168.3357607786356</v>
      </c>
      <c r="AJ5" s="251">
        <v>13.5</v>
      </c>
      <c r="AK5" s="248">
        <v>3173.2398248063901</v>
      </c>
      <c r="AM5" s="251">
        <v>13.5</v>
      </c>
      <c r="AN5" s="248">
        <v>2720.1156008337498</v>
      </c>
    </row>
    <row r="6" spans="1:40">
      <c r="A6" s="249" t="s">
        <v>8</v>
      </c>
      <c r="B6" s="254">
        <v>1.8E-3</v>
      </c>
      <c r="C6" s="255">
        <v>0.01</v>
      </c>
      <c r="D6" s="254">
        <v>0.01</v>
      </c>
      <c r="E6" s="254">
        <v>3.5999999999999997E-2</v>
      </c>
      <c r="G6" s="249" t="s">
        <v>8</v>
      </c>
      <c r="H6" s="256">
        <v>1.8E-3</v>
      </c>
      <c r="I6" s="256">
        <v>0.01</v>
      </c>
      <c r="J6" s="256">
        <v>0.01</v>
      </c>
      <c r="K6" s="256">
        <v>3.6999999999999998E-2</v>
      </c>
      <c r="L6" s="250"/>
      <c r="M6" s="250"/>
      <c r="N6" s="250"/>
      <c r="O6" s="250"/>
      <c r="P6" s="250"/>
      <c r="Q6" s="250"/>
      <c r="R6" s="250"/>
      <c r="S6" s="250"/>
      <c r="V6" s="251">
        <v>14</v>
      </c>
      <c r="W6" s="248">
        <v>-832.15555889979169</v>
      </c>
      <c r="Y6" s="251">
        <v>14</v>
      </c>
      <c r="Z6" s="248">
        <v>-405.29395561680622</v>
      </c>
      <c r="AB6" s="251">
        <v>14</v>
      </c>
      <c r="AC6" s="248">
        <v>-425.57168663963648</v>
      </c>
      <c r="AG6" s="251">
        <v>14</v>
      </c>
      <c r="AH6" s="248">
        <v>3058.7307637342992</v>
      </c>
      <c r="AJ6" s="251">
        <v>14</v>
      </c>
      <c r="AK6" s="248">
        <v>3079.0084947571295</v>
      </c>
      <c r="AM6" s="251">
        <v>14</v>
      </c>
      <c r="AN6" s="248">
        <v>2652.146891474144</v>
      </c>
    </row>
    <row r="7" spans="1:40">
      <c r="A7" s="249" t="s">
        <v>3</v>
      </c>
      <c r="B7" s="254">
        <v>3.2399999999999998E-3</v>
      </c>
      <c r="C7" s="255">
        <v>4.7999999999999996E-3</v>
      </c>
      <c r="D7" s="254">
        <v>2.2800000000000001E-2</v>
      </c>
      <c r="E7" s="254">
        <v>8.2799999999999985E-2</v>
      </c>
      <c r="G7" s="249" t="s">
        <v>3</v>
      </c>
      <c r="H7" s="256">
        <v>2.7000000000000001E-3</v>
      </c>
      <c r="I7" s="256">
        <v>4.0000000000000001E-3</v>
      </c>
      <c r="J7" s="256">
        <v>1.9000000000000003E-2</v>
      </c>
      <c r="K7" s="256">
        <v>8.5880000000000012E-2</v>
      </c>
      <c r="L7" s="250"/>
      <c r="M7" s="250"/>
      <c r="N7" s="250"/>
      <c r="O7" s="250"/>
      <c r="P7" s="250"/>
      <c r="Q7" s="250"/>
      <c r="R7" s="250"/>
      <c r="S7" s="250"/>
      <c r="V7" s="251">
        <v>14.5</v>
      </c>
      <c r="W7" s="248">
        <v>-900.12426825939747</v>
      </c>
      <c r="Y7" s="251">
        <v>14.5</v>
      </c>
      <c r="Z7" s="248">
        <v>-499.52528566606679</v>
      </c>
      <c r="AB7" s="251">
        <v>14.5</v>
      </c>
      <c r="AC7" s="248">
        <v>-535.17668368397108</v>
      </c>
      <c r="AG7" s="251">
        <v>14.5</v>
      </c>
      <c r="AH7" s="248">
        <v>2949.1257666899646</v>
      </c>
      <c r="AJ7" s="251">
        <v>14.5</v>
      </c>
      <c r="AK7" s="248">
        <v>2984.7771647078689</v>
      </c>
      <c r="AM7" s="251">
        <v>14.5</v>
      </c>
      <c r="AN7" s="248">
        <v>2584.1781821145382</v>
      </c>
    </row>
    <row r="8" spans="1:40">
      <c r="A8" s="249" t="s">
        <v>155</v>
      </c>
      <c r="B8" s="254">
        <v>1.3617499999999999E-2</v>
      </c>
      <c r="C8" s="255">
        <v>1.4665000000000001E-2</v>
      </c>
      <c r="D8" s="254">
        <v>0.12989000000000001</v>
      </c>
      <c r="E8" s="254">
        <v>5.4889E-2</v>
      </c>
      <c r="G8" s="249" t="s">
        <v>155</v>
      </c>
      <c r="H8" s="256">
        <v>1.3000000000000001E-2</v>
      </c>
      <c r="I8" s="256">
        <v>1.4000000000000002E-2</v>
      </c>
      <c r="J8" s="256">
        <v>0.124</v>
      </c>
      <c r="K8" s="256">
        <v>6.5600000000000006E-2</v>
      </c>
      <c r="L8" s="250"/>
      <c r="M8" s="250"/>
      <c r="N8" s="250"/>
      <c r="O8" s="250"/>
      <c r="P8" s="250"/>
      <c r="Q8" s="250"/>
      <c r="R8" s="250"/>
      <c r="S8" s="250"/>
      <c r="V8" s="251">
        <v>15</v>
      </c>
      <c r="W8" s="248">
        <v>-968.09297761900234</v>
      </c>
      <c r="Y8" s="251">
        <v>15</v>
      </c>
      <c r="Z8" s="248">
        <v>-593.75661571532737</v>
      </c>
      <c r="AB8" s="251">
        <v>15</v>
      </c>
      <c r="AC8" s="248">
        <v>-644.78168072830567</v>
      </c>
      <c r="AG8" s="251">
        <v>15</v>
      </c>
      <c r="AH8" s="248">
        <v>2839.52076964563</v>
      </c>
      <c r="AJ8" s="251">
        <v>15</v>
      </c>
      <c r="AK8" s="248">
        <v>2890.5458346586083</v>
      </c>
      <c r="AM8" s="251">
        <v>15</v>
      </c>
      <c r="AN8" s="248">
        <v>2516.2094727549334</v>
      </c>
    </row>
    <row r="9" spans="1:40">
      <c r="A9" s="249" t="s">
        <v>156</v>
      </c>
      <c r="B9" s="254">
        <v>3.6450000000000002E-3</v>
      </c>
      <c r="C9" s="255">
        <v>5.4000000000000003E-3</v>
      </c>
      <c r="D9" s="254">
        <v>2.5650000000000003E-2</v>
      </c>
      <c r="E9" s="254">
        <v>9.3149999999999997E-2</v>
      </c>
      <c r="G9" s="249" t="s">
        <v>156</v>
      </c>
      <c r="H9" s="256">
        <v>3.2399999999999998E-3</v>
      </c>
      <c r="I9" s="256">
        <v>4.7999999999999996E-3</v>
      </c>
      <c r="J9" s="256">
        <v>2.2800000000000001E-2</v>
      </c>
      <c r="K9" s="256">
        <v>0.10305599999999999</v>
      </c>
      <c r="L9" s="250"/>
      <c r="M9" s="250"/>
      <c r="N9" s="250"/>
      <c r="O9" s="250"/>
      <c r="P9" s="250"/>
      <c r="Q9" s="250"/>
      <c r="R9" s="250"/>
      <c r="S9" s="250"/>
    </row>
    <row r="10" spans="1:40">
      <c r="A10" s="249" t="s">
        <v>9</v>
      </c>
      <c r="B10" s="254">
        <v>6.1051999999999995E-2</v>
      </c>
      <c r="C10" s="254">
        <v>1.4355999999999999E-2</v>
      </c>
      <c r="D10" s="254">
        <v>1.8537999999999999E-2</v>
      </c>
      <c r="E10" s="254">
        <v>1.1452E-2</v>
      </c>
      <c r="G10" s="249" t="s">
        <v>9</v>
      </c>
      <c r="H10" s="256">
        <v>6.1051999999999995E-2</v>
      </c>
      <c r="I10" s="256">
        <v>1.4355999999999999E-2</v>
      </c>
      <c r="J10" s="256">
        <v>1.8537999999999999E-2</v>
      </c>
      <c r="K10" s="256">
        <v>1.45688E-2</v>
      </c>
      <c r="L10" s="250"/>
      <c r="M10" s="250"/>
      <c r="N10" s="250"/>
      <c r="O10" s="250"/>
      <c r="P10" s="250"/>
      <c r="Q10" s="250"/>
      <c r="R10" s="250"/>
      <c r="S10" s="250"/>
    </row>
    <row r="11" spans="1:40">
      <c r="A11" s="249" t="s">
        <v>157</v>
      </c>
      <c r="B11" s="254">
        <v>1.1479999999999999E-3</v>
      </c>
      <c r="C11" s="254">
        <v>6.4400000000000004E-4</v>
      </c>
      <c r="D11" s="254">
        <v>4.6200000000000001E-4</v>
      </c>
      <c r="E11" s="254">
        <v>4.4799999999999999E-4</v>
      </c>
      <c r="G11" s="249" t="s">
        <v>157</v>
      </c>
      <c r="H11" s="256">
        <v>1.1479999999999999E-3</v>
      </c>
      <c r="I11" s="256">
        <v>6.4400000000000004E-4</v>
      </c>
      <c r="J11" s="256">
        <v>4.6200000000000001E-4</v>
      </c>
      <c r="K11" s="256">
        <v>4.3119999999999996E-4</v>
      </c>
      <c r="L11" s="250"/>
      <c r="M11" s="250"/>
      <c r="N11" s="250"/>
      <c r="O11" s="250"/>
      <c r="P11" s="250"/>
      <c r="Q11" s="250"/>
      <c r="R11" s="250"/>
      <c r="S11" s="250"/>
    </row>
    <row r="12" spans="1:40">
      <c r="A12" s="249" t="s">
        <v>10</v>
      </c>
      <c r="B12" s="254">
        <v>1.0935000000000001E-3</v>
      </c>
      <c r="C12" s="255">
        <v>1.6200000000000001E-3</v>
      </c>
      <c r="D12" s="254">
        <v>7.6950000000000005E-3</v>
      </c>
      <c r="E12" s="254">
        <v>2.7944999999999998E-2</v>
      </c>
      <c r="G12" s="249" t="s">
        <v>10</v>
      </c>
      <c r="H12" s="256">
        <v>5.8319999999999997E-4</v>
      </c>
      <c r="I12" s="256">
        <v>8.6399999999999986E-4</v>
      </c>
      <c r="J12" s="256">
        <v>4.104E-3</v>
      </c>
      <c r="K12" s="256">
        <v>1.855008E-2</v>
      </c>
      <c r="L12" s="250"/>
      <c r="M12" s="250"/>
      <c r="N12" s="250"/>
      <c r="O12" s="250"/>
      <c r="P12" s="250"/>
      <c r="Q12" s="250"/>
      <c r="R12" s="250"/>
      <c r="S12" s="250"/>
      <c r="V12" s="248" t="s">
        <v>108</v>
      </c>
      <c r="Y12" s="248" t="s">
        <v>207</v>
      </c>
      <c r="AB12" s="248" t="s">
        <v>208</v>
      </c>
      <c r="AG12" s="248" t="s">
        <v>108</v>
      </c>
      <c r="AJ12" s="248" t="s">
        <v>207</v>
      </c>
      <c r="AM12" s="248" t="s">
        <v>208</v>
      </c>
    </row>
    <row r="13" spans="1:40">
      <c r="A13" s="249" t="s">
        <v>158</v>
      </c>
      <c r="B13" s="254">
        <v>0.06</v>
      </c>
      <c r="C13" s="254">
        <v>0.22</v>
      </c>
      <c r="D13" s="254">
        <v>0.28899999999999998</v>
      </c>
      <c r="E13" s="254">
        <v>0.15920000000000001</v>
      </c>
      <c r="G13" s="249" t="s">
        <v>158</v>
      </c>
      <c r="H13" s="256">
        <v>0.06</v>
      </c>
      <c r="I13" s="256">
        <v>0.22</v>
      </c>
      <c r="J13" s="256">
        <v>0.28899999999999998</v>
      </c>
      <c r="K13" s="256">
        <v>0.17399999999999999</v>
      </c>
      <c r="L13" s="250"/>
      <c r="M13" s="250"/>
      <c r="N13" s="250"/>
      <c r="O13" s="250"/>
      <c r="P13" s="250"/>
      <c r="Q13" s="250"/>
      <c r="R13" s="250"/>
      <c r="S13" s="250"/>
      <c r="V13" s="248" t="s">
        <v>209</v>
      </c>
      <c r="W13" s="248" t="s">
        <v>203</v>
      </c>
      <c r="Y13" s="248" t="s">
        <v>210</v>
      </c>
      <c r="Z13" s="248" t="s">
        <v>203</v>
      </c>
      <c r="AB13" s="248" t="s">
        <v>202</v>
      </c>
      <c r="AC13" s="248" t="s">
        <v>203</v>
      </c>
      <c r="AG13" s="248" t="s">
        <v>209</v>
      </c>
      <c r="AH13" s="248" t="s">
        <v>204</v>
      </c>
      <c r="AJ13" s="248" t="s">
        <v>210</v>
      </c>
      <c r="AK13" s="248" t="s">
        <v>204</v>
      </c>
      <c r="AM13" s="248" t="s">
        <v>202</v>
      </c>
      <c r="AN13" s="248" t="s">
        <v>204</v>
      </c>
    </row>
    <row r="14" spans="1:40">
      <c r="A14" s="249" t="s">
        <v>160</v>
      </c>
      <c r="B14" s="254">
        <v>2.4404000000000092E-2</v>
      </c>
      <c r="C14" s="254">
        <v>2.8515000000000068E-2</v>
      </c>
      <c r="D14" s="254">
        <v>-7.4034999999999851E-2</v>
      </c>
      <c r="E14" s="254">
        <v>2.1116000000000024E-2</v>
      </c>
      <c r="G14" s="249" t="s">
        <v>160</v>
      </c>
      <c r="H14" s="256">
        <v>2.6476799999999967E-2</v>
      </c>
      <c r="I14" s="256">
        <v>3.133600000000003E-2</v>
      </c>
      <c r="J14" s="256">
        <v>-5.7904000000000178E-2</v>
      </c>
      <c r="K14" s="256">
        <v>-3.1086080000000127E-2</v>
      </c>
      <c r="L14" s="250"/>
      <c r="M14" s="250"/>
      <c r="N14" s="250"/>
      <c r="O14" s="250"/>
      <c r="P14" s="250"/>
      <c r="Q14" s="250"/>
      <c r="R14" s="250"/>
      <c r="S14" s="250"/>
      <c r="W14" s="248" t="e">
        <v>#REF!</v>
      </c>
      <c r="Z14" s="248" t="e">
        <v>#REF!</v>
      </c>
      <c r="AC14" s="248" t="e">
        <v>#REF!</v>
      </c>
      <c r="AH14" s="248" t="e">
        <v>#REF!</v>
      </c>
      <c r="AK14" s="248" t="e">
        <v>#REF!</v>
      </c>
      <c r="AN14" s="248" t="e">
        <v>#REF!</v>
      </c>
    </row>
    <row r="15" spans="1:40">
      <c r="C15" s="245"/>
      <c r="V15" s="248">
        <v>375</v>
      </c>
      <c r="W15" s="248">
        <v>311.54880975387823</v>
      </c>
      <c r="Y15" s="248">
        <v>375</v>
      </c>
      <c r="Z15" s="248">
        <v>425.09194846986247</v>
      </c>
      <c r="AB15" s="248">
        <v>250</v>
      </c>
      <c r="AC15" s="248">
        <v>963.70424108863199</v>
      </c>
      <c r="AG15" s="248">
        <v>375</v>
      </c>
      <c r="AH15" s="248">
        <v>5269.9162601278131</v>
      </c>
      <c r="AJ15" s="248">
        <v>375</v>
      </c>
      <c r="AK15" s="248">
        <v>4092.7243988437981</v>
      </c>
      <c r="AM15" s="248">
        <v>250</v>
      </c>
      <c r="AN15" s="248">
        <v>4024.9390384182329</v>
      </c>
    </row>
    <row r="16" spans="1:40">
      <c r="A16" s="249" t="s">
        <v>146</v>
      </c>
      <c r="B16" s="254">
        <f>(B4/(B$4+B$5))</f>
        <v>0.98795180722891562</v>
      </c>
      <c r="C16" s="254">
        <f>(C4/(C$4+C$5))</f>
        <v>0.65714285714285725</v>
      </c>
      <c r="D16" s="254">
        <f>(D4/(D$4+D$5))</f>
        <v>0.57894736842105254</v>
      </c>
      <c r="E16" s="254">
        <f>(E4/(E$4+E$5))</f>
        <v>0.62378167641325533</v>
      </c>
      <c r="H16" s="254">
        <f>(H4/(H$4+H$5))</f>
        <v>0.98795180722891562</v>
      </c>
      <c r="I16" s="254">
        <f>(I4/(I$4+I$5))</f>
        <v>0.65714285714285725</v>
      </c>
      <c r="J16" s="254">
        <f>(J4/(J$4+J$5))</f>
        <v>0.57894736842105254</v>
      </c>
      <c r="K16" s="254">
        <f>(K4/(K$4+K$5))</f>
        <v>0.57894736842105254</v>
      </c>
      <c r="V16" s="248">
        <v>400</v>
      </c>
      <c r="W16" s="248">
        <v>232.9113097538775</v>
      </c>
      <c r="Y16" s="248">
        <v>400</v>
      </c>
      <c r="Z16" s="248">
        <v>348.96694846986247</v>
      </c>
      <c r="AB16" s="248">
        <v>275</v>
      </c>
      <c r="AC16" s="248">
        <v>817.00424108863126</v>
      </c>
      <c r="AG16" s="248">
        <v>400</v>
      </c>
      <c r="AH16" s="248">
        <v>4889.2162601278142</v>
      </c>
      <c r="AJ16" s="248">
        <v>400</v>
      </c>
      <c r="AK16" s="248">
        <v>3962.0368988437981</v>
      </c>
      <c r="AM16" s="248">
        <v>275</v>
      </c>
      <c r="AN16" s="248">
        <v>3947.6144078763605</v>
      </c>
    </row>
    <row r="17" spans="1:40">
      <c r="A17" s="249" t="s">
        <v>2</v>
      </c>
      <c r="B17" s="254">
        <f>1-B16</f>
        <v>1.2048192771084376E-2</v>
      </c>
      <c r="C17" s="254">
        <f>1-C16</f>
        <v>0.34285714285714275</v>
      </c>
      <c r="D17" s="254">
        <f>1-D16</f>
        <v>0.42105263157894746</v>
      </c>
      <c r="E17" s="254">
        <f>1-E16</f>
        <v>0.37621832358674467</v>
      </c>
      <c r="H17" s="254">
        <f>1-H16</f>
        <v>1.2048192771084376E-2</v>
      </c>
      <c r="I17" s="254">
        <f>1-I16</f>
        <v>0.34285714285714275</v>
      </c>
      <c r="J17" s="254">
        <f>1-J16</f>
        <v>0.42105263157894746</v>
      </c>
      <c r="K17" s="254">
        <f>1-K16</f>
        <v>0.42105263157894746</v>
      </c>
      <c r="V17" s="248">
        <v>425</v>
      </c>
      <c r="W17" s="248">
        <v>154.27380975387678</v>
      </c>
      <c r="Y17" s="248">
        <v>425</v>
      </c>
      <c r="Z17" s="248">
        <v>272.84194846986247</v>
      </c>
      <c r="AB17" s="248">
        <v>300</v>
      </c>
      <c r="AC17" s="248">
        <v>670.30424108863235</v>
      </c>
      <c r="AG17" s="248">
        <v>425</v>
      </c>
      <c r="AH17" s="248">
        <v>4508.5162601278134</v>
      </c>
      <c r="AJ17" s="248">
        <v>425</v>
      </c>
      <c r="AK17" s="248">
        <v>3831.3493988437981</v>
      </c>
      <c r="AM17" s="248">
        <v>300</v>
      </c>
      <c r="AN17" s="248">
        <v>3870.289777334488</v>
      </c>
    </row>
    <row r="18" spans="1:40" hidden="1">
      <c r="V18" s="248">
        <v>450</v>
      </c>
      <c r="W18" s="248">
        <v>75.636309753876503</v>
      </c>
      <c r="Y18" s="248">
        <v>450</v>
      </c>
      <c r="Z18" s="248">
        <v>196.71694846986247</v>
      </c>
      <c r="AB18" s="248">
        <v>325</v>
      </c>
      <c r="AC18" s="248">
        <v>523.60424108863117</v>
      </c>
      <c r="AG18" s="248">
        <v>450</v>
      </c>
      <c r="AH18" s="248">
        <v>4127.8162601278127</v>
      </c>
      <c r="AJ18" s="248">
        <v>450</v>
      </c>
      <c r="AK18" s="248">
        <v>3700.6618988437981</v>
      </c>
      <c r="AM18" s="248">
        <v>325</v>
      </c>
      <c r="AN18" s="248">
        <v>3792.9651467926174</v>
      </c>
    </row>
    <row r="19" spans="1:40" hidden="1">
      <c r="A19" s="252" t="s">
        <v>211</v>
      </c>
      <c r="V19" s="248">
        <v>475</v>
      </c>
      <c r="W19" s="248">
        <v>-3.0011902461224054</v>
      </c>
      <c r="Y19" s="248">
        <v>459</v>
      </c>
      <c r="Z19" s="248">
        <v>169.31194846986364</v>
      </c>
      <c r="AB19" s="248">
        <v>350</v>
      </c>
      <c r="AC19" s="248">
        <v>376.90424108863044</v>
      </c>
      <c r="AG19" s="248">
        <v>475</v>
      </c>
      <c r="AH19" s="248">
        <v>3747.1162601278138</v>
      </c>
      <c r="AJ19" s="248">
        <v>459</v>
      </c>
      <c r="AK19" s="248">
        <v>3653.6143988437993</v>
      </c>
      <c r="AM19" s="248">
        <v>350</v>
      </c>
      <c r="AN19" s="248">
        <v>3715.6405162507431</v>
      </c>
    </row>
    <row r="20" spans="1:40" hidden="1">
      <c r="A20" s="257" t="s">
        <v>212</v>
      </c>
      <c r="B20" s="257" t="s">
        <v>213</v>
      </c>
      <c r="V20" s="248">
        <v>497</v>
      </c>
      <c r="W20" s="248">
        <v>-72.202190246121518</v>
      </c>
      <c r="Y20" s="248">
        <v>475</v>
      </c>
      <c r="Z20" s="248">
        <v>120.59194846986247</v>
      </c>
      <c r="AB20" s="248">
        <v>375</v>
      </c>
      <c r="AC20" s="248">
        <v>230.20424108863153</v>
      </c>
      <c r="AG20" s="248">
        <v>497</v>
      </c>
      <c r="AH20" s="248">
        <v>3412.1002601278142</v>
      </c>
      <c r="AJ20" s="248">
        <v>475</v>
      </c>
      <c r="AK20" s="248">
        <v>3569.9743988437981</v>
      </c>
      <c r="AM20" s="248">
        <v>375</v>
      </c>
      <c r="AN20" s="248">
        <v>3638.3158857088724</v>
      </c>
    </row>
    <row r="21" spans="1:40" hidden="1">
      <c r="A21" s="249" t="s">
        <v>146</v>
      </c>
      <c r="B21" s="245">
        <v>636</v>
      </c>
      <c r="V21" s="248">
        <v>500</v>
      </c>
      <c r="W21" s="248">
        <v>-81.638690246123133</v>
      </c>
      <c r="Y21" s="248">
        <v>500</v>
      </c>
      <c r="Z21" s="248">
        <v>44.466948469862473</v>
      </c>
      <c r="AB21" s="248">
        <v>384</v>
      </c>
      <c r="AC21" s="248">
        <v>177.39224108863164</v>
      </c>
      <c r="AG21" s="248">
        <v>500</v>
      </c>
      <c r="AH21" s="248">
        <v>3366.4162601278131</v>
      </c>
      <c r="AJ21" s="248">
        <v>500</v>
      </c>
      <c r="AK21" s="248">
        <v>3439.2868988437981</v>
      </c>
      <c r="AM21" s="248">
        <v>384</v>
      </c>
      <c r="AN21" s="248">
        <v>3610.4790187137983</v>
      </c>
    </row>
    <row r="22" spans="1:40" hidden="1">
      <c r="A22" s="249" t="s">
        <v>2</v>
      </c>
      <c r="B22" s="245">
        <v>695</v>
      </c>
      <c r="V22" s="248">
        <v>525</v>
      </c>
      <c r="W22" s="248">
        <v>-160.27619024612204</v>
      </c>
      <c r="Y22" s="248">
        <v>525</v>
      </c>
      <c r="Z22" s="248">
        <v>-31.658051530137527</v>
      </c>
      <c r="AB22" s="248">
        <v>400</v>
      </c>
      <c r="AC22" s="248">
        <v>83.504241088630806</v>
      </c>
      <c r="AG22" s="248">
        <v>525</v>
      </c>
      <c r="AH22" s="248">
        <v>2985.7162601278142</v>
      </c>
      <c r="AJ22" s="248">
        <v>525</v>
      </c>
      <c r="AK22" s="248">
        <v>3308.5993988437981</v>
      </c>
      <c r="AM22" s="248">
        <v>400</v>
      </c>
      <c r="AN22" s="248">
        <v>3560.991255167</v>
      </c>
    </row>
    <row r="23" spans="1:40" hidden="1">
      <c r="A23" s="249" t="s">
        <v>214</v>
      </c>
      <c r="B23" s="245">
        <v>328</v>
      </c>
      <c r="V23" s="248">
        <v>550</v>
      </c>
      <c r="W23" s="248">
        <v>-238.91369024612277</v>
      </c>
      <c r="Y23" s="248">
        <v>550</v>
      </c>
      <c r="Z23" s="248">
        <v>-107.78305153013753</v>
      </c>
      <c r="AB23" s="248">
        <v>425</v>
      </c>
      <c r="AC23" s="248">
        <v>-63.195758911368102</v>
      </c>
      <c r="AG23" s="248">
        <v>550</v>
      </c>
      <c r="AH23" s="248">
        <v>2605.0162601278134</v>
      </c>
      <c r="AJ23" s="248">
        <v>550</v>
      </c>
      <c r="AK23" s="248">
        <v>3177.9118988437981</v>
      </c>
      <c r="AM23" s="248">
        <v>425</v>
      </c>
      <c r="AN23" s="248">
        <v>3483.6666246251275</v>
      </c>
    </row>
    <row r="24" spans="1:40" hidden="1">
      <c r="A24" s="249" t="s">
        <v>215</v>
      </c>
      <c r="B24" s="245">
        <v>270</v>
      </c>
      <c r="V24" s="248">
        <v>575</v>
      </c>
      <c r="W24" s="248">
        <v>-317.5511902461235</v>
      </c>
      <c r="Y24" s="248">
        <v>575</v>
      </c>
      <c r="Z24" s="248">
        <v>-183.90805153013753</v>
      </c>
      <c r="AB24" s="248">
        <v>450</v>
      </c>
      <c r="AC24" s="248">
        <v>-209.89575891136883</v>
      </c>
      <c r="AG24" s="248">
        <v>575</v>
      </c>
      <c r="AH24" s="248">
        <v>2224.3162601278127</v>
      </c>
      <c r="AJ24" s="248">
        <v>575</v>
      </c>
      <c r="AK24" s="248">
        <v>3047.2243988437981</v>
      </c>
      <c r="AM24" s="248">
        <v>450</v>
      </c>
      <c r="AN24" s="248">
        <v>3406.3419940832568</v>
      </c>
    </row>
    <row r="25" spans="1:40" hidden="1">
      <c r="A25" s="249" t="s">
        <v>216</v>
      </c>
      <c r="B25" s="245">
        <v>377</v>
      </c>
      <c r="V25" s="248">
        <v>600</v>
      </c>
      <c r="W25" s="248">
        <v>-396.18869024612241</v>
      </c>
      <c r="Y25" s="248">
        <v>600</v>
      </c>
      <c r="Z25" s="248">
        <v>-260.03305153013753</v>
      </c>
      <c r="AB25" s="248">
        <v>475</v>
      </c>
      <c r="AC25" s="248">
        <v>-356.59575891136956</v>
      </c>
      <c r="AG25" s="248">
        <v>600</v>
      </c>
      <c r="AH25" s="248">
        <v>1843.6162601278138</v>
      </c>
      <c r="AJ25" s="248">
        <v>600</v>
      </c>
      <c r="AK25" s="248">
        <v>2916.5368988437981</v>
      </c>
      <c r="AM25" s="248">
        <v>475</v>
      </c>
      <c r="AN25" s="248">
        <v>3329.0173635413844</v>
      </c>
    </row>
    <row r="26" spans="1:40" hidden="1">
      <c r="A26" s="249" t="s">
        <v>3</v>
      </c>
      <c r="B26" s="245">
        <v>735</v>
      </c>
      <c r="V26" s="248">
        <v>625</v>
      </c>
      <c r="W26" s="248">
        <v>-474.82619024612313</v>
      </c>
      <c r="Y26" s="248">
        <v>625</v>
      </c>
      <c r="Z26" s="248">
        <v>-336.15805153013753</v>
      </c>
      <c r="AB26" s="248">
        <v>500</v>
      </c>
      <c r="AC26" s="248">
        <v>-503.29575891136847</v>
      </c>
      <c r="AG26" s="248">
        <v>625</v>
      </c>
      <c r="AH26" s="248">
        <v>1462.9162601278131</v>
      </c>
      <c r="AJ26" s="248">
        <v>625</v>
      </c>
      <c r="AK26" s="248">
        <v>2785.8493988437981</v>
      </c>
      <c r="AM26" s="248">
        <v>500</v>
      </c>
      <c r="AN26" s="248">
        <v>3251.6927329995119</v>
      </c>
    </row>
    <row r="27" spans="1:40" hidden="1">
      <c r="A27" s="249" t="s">
        <v>155</v>
      </c>
      <c r="B27" s="245">
        <v>805</v>
      </c>
      <c r="V27" s="248">
        <v>650</v>
      </c>
      <c r="W27" s="248">
        <v>-553.46369024612386</v>
      </c>
      <c r="Y27" s="248">
        <v>650</v>
      </c>
      <c r="Z27" s="248">
        <v>-412.28305153013753</v>
      </c>
      <c r="AB27" s="248">
        <v>525</v>
      </c>
      <c r="AC27" s="248">
        <v>-649.99575891136919</v>
      </c>
      <c r="AG27" s="248">
        <v>650</v>
      </c>
      <c r="AH27" s="248">
        <v>1082.2162601278123</v>
      </c>
      <c r="AJ27" s="248">
        <v>650</v>
      </c>
      <c r="AK27" s="248">
        <v>2655.1618988437981</v>
      </c>
      <c r="AM27" s="248">
        <v>525</v>
      </c>
      <c r="AN27" s="248">
        <v>3174.3681024576413</v>
      </c>
    </row>
    <row r="28" spans="1:40" hidden="1">
      <c r="A28" s="249" t="s">
        <v>217</v>
      </c>
      <c r="B28" s="245">
        <v>260</v>
      </c>
      <c r="V28" s="248">
        <v>675</v>
      </c>
      <c r="W28" s="248">
        <v>-632.10119024612095</v>
      </c>
      <c r="Y28" s="248">
        <v>675</v>
      </c>
      <c r="Z28" s="248">
        <v>-488.40805153013753</v>
      </c>
      <c r="AB28" s="248">
        <v>550</v>
      </c>
      <c r="AC28" s="248">
        <v>-796.6957589113681</v>
      </c>
      <c r="AG28" s="248">
        <v>675</v>
      </c>
      <c r="AH28" s="248">
        <v>701.51626012781344</v>
      </c>
      <c r="AJ28" s="248">
        <v>675</v>
      </c>
      <c r="AK28" s="248">
        <v>2524.4743988437981</v>
      </c>
      <c r="AM28" s="248">
        <v>550</v>
      </c>
      <c r="AN28" s="248">
        <v>3097.0434719157688</v>
      </c>
    </row>
    <row r="29" spans="1:40" hidden="1">
      <c r="A29" s="249" t="s">
        <v>218</v>
      </c>
      <c r="B29" s="245">
        <v>300</v>
      </c>
      <c r="V29" s="248">
        <v>700</v>
      </c>
      <c r="W29" s="248">
        <v>-710.7386902461235</v>
      </c>
      <c r="Y29" s="248">
        <v>700</v>
      </c>
      <c r="Z29" s="248">
        <v>-564.53305153013753</v>
      </c>
      <c r="AB29" s="248">
        <v>575</v>
      </c>
      <c r="AC29" s="248">
        <v>-943.39575891136883</v>
      </c>
      <c r="AG29" s="248">
        <v>700</v>
      </c>
      <c r="AH29" s="248">
        <v>320.81626012781089</v>
      </c>
      <c r="AJ29" s="248">
        <v>700</v>
      </c>
      <c r="AK29" s="248">
        <v>2393.7868988437981</v>
      </c>
      <c r="AM29" s="248">
        <v>575</v>
      </c>
      <c r="AN29" s="248">
        <v>3019.7188413738963</v>
      </c>
    </row>
    <row r="30" spans="1:40">
      <c r="V30" s="248">
        <v>725</v>
      </c>
      <c r="W30" s="248">
        <v>-789.37619024612241</v>
      </c>
      <c r="Y30" s="248">
        <v>725</v>
      </c>
      <c r="Z30" s="248">
        <v>-640.65805153013753</v>
      </c>
      <c r="AB30" s="248">
        <v>600</v>
      </c>
      <c r="AC30" s="248">
        <v>-1090.0957589113696</v>
      </c>
      <c r="AG30" s="248">
        <v>725</v>
      </c>
      <c r="AH30" s="248">
        <v>-59.883739872188016</v>
      </c>
      <c r="AJ30" s="248">
        <v>725</v>
      </c>
      <c r="AK30" s="248">
        <v>2263.0993988437981</v>
      </c>
      <c r="AM30" s="248">
        <v>600</v>
      </c>
      <c r="AN30" s="248">
        <v>2942.3942108320257</v>
      </c>
    </row>
    <row r="31" spans="1:40">
      <c r="V31" s="248">
        <v>750</v>
      </c>
      <c r="W31" s="248">
        <v>-868.01369024612313</v>
      </c>
      <c r="Y31" s="248">
        <v>750</v>
      </c>
      <c r="Z31" s="248">
        <v>-716.78305153013753</v>
      </c>
      <c r="AB31" s="248">
        <v>625</v>
      </c>
      <c r="AC31" s="248">
        <v>-1236.7957589113685</v>
      </c>
      <c r="AG31" s="248">
        <v>750</v>
      </c>
      <c r="AH31" s="248">
        <v>-440.58373987218874</v>
      </c>
      <c r="AJ31" s="248">
        <v>750</v>
      </c>
      <c r="AK31" s="248">
        <v>2132.4118988437981</v>
      </c>
      <c r="AM31" s="248">
        <v>625</v>
      </c>
      <c r="AN31" s="248">
        <v>2865.0695802901532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D5321-CF30-4A4E-80B6-AD2E64B85193}">
  <sheetPr>
    <tabColor rgb="FFFFC000"/>
  </sheetPr>
  <dimension ref="A1:FW75"/>
  <sheetViews>
    <sheetView showGridLines="0" topLeftCell="CC1" zoomScaleNormal="100" workbookViewId="0">
      <selection activeCell="CM24" sqref="CM24:CM29"/>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37" customWidth="1"/>
    <col min="7" max="7" width="16.28515625" style="337" bestFit="1" customWidth="1"/>
    <col min="8" max="8" width="17.140625" style="337" customWidth="1"/>
    <col min="9" max="9" width="16.7109375" style="337" customWidth="1"/>
    <col min="10" max="10" width="16.140625" style="337" customWidth="1"/>
    <col min="11" max="11" width="15.85546875" style="337" customWidth="1"/>
    <col min="12" max="12" width="15.5703125" style="337" customWidth="1"/>
    <col min="13" max="13" width="15.85546875" style="337" customWidth="1"/>
    <col min="14" max="16" width="16.5703125" style="337" customWidth="1"/>
    <col min="17" max="17" width="14.5703125" style="337" customWidth="1"/>
    <col min="18" max="18" width="17.28515625" style="337" customWidth="1"/>
    <col min="19" max="19" width="16.7109375" style="337" customWidth="1"/>
    <col min="20" max="20" width="16.28515625" style="337" customWidth="1"/>
    <col min="21" max="21" width="16.5703125" style="337" customWidth="1"/>
    <col min="22" max="22" width="17.85546875" style="337" customWidth="1"/>
    <col min="23" max="42" width="16.28515625" style="337" customWidth="1"/>
    <col min="43" max="43" width="15.42578125" style="337" customWidth="1"/>
    <col min="44" max="45" width="16.28515625" style="337" customWidth="1"/>
    <col min="46" max="46" width="18.7109375" style="338" bestFit="1" customWidth="1"/>
    <col min="47" max="90" width="15.85546875" style="1" bestFit="1" customWidth="1"/>
    <col min="91" max="91" width="25.85546875" style="58"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351" t="s">
        <v>301</v>
      </c>
      <c r="B1" s="351" t="s">
        <v>302</v>
      </c>
      <c r="C1" s="352" t="s">
        <v>147</v>
      </c>
      <c r="D1" s="352" t="s">
        <v>163</v>
      </c>
      <c r="E1" s="351" t="s">
        <v>303</v>
      </c>
      <c r="F1" s="353" t="s">
        <v>4</v>
      </c>
      <c r="G1" s="354">
        <v>41913</v>
      </c>
      <c r="H1" s="354">
        <v>41944</v>
      </c>
      <c r="I1" s="354">
        <v>41974</v>
      </c>
      <c r="J1" s="354">
        <v>42005</v>
      </c>
      <c r="K1" s="354">
        <v>42036</v>
      </c>
      <c r="L1" s="354">
        <v>42064</v>
      </c>
      <c r="M1" s="354">
        <v>42095</v>
      </c>
      <c r="N1" s="354">
        <v>42125</v>
      </c>
      <c r="O1" s="354">
        <v>42156</v>
      </c>
      <c r="P1" s="354">
        <v>42186</v>
      </c>
      <c r="Q1" s="354">
        <v>42217</v>
      </c>
      <c r="R1" s="354">
        <v>42248</v>
      </c>
      <c r="S1" s="354">
        <v>42278</v>
      </c>
      <c r="T1" s="354">
        <v>42309</v>
      </c>
      <c r="U1" s="354">
        <v>42339</v>
      </c>
      <c r="V1" s="354">
        <v>42370</v>
      </c>
      <c r="W1" s="354">
        <v>42401</v>
      </c>
      <c r="X1" s="354">
        <v>42430</v>
      </c>
      <c r="Y1" s="354">
        <v>42461</v>
      </c>
      <c r="Z1" s="354">
        <v>42491</v>
      </c>
      <c r="AA1" s="354">
        <v>42522</v>
      </c>
      <c r="AB1" s="354">
        <v>42552</v>
      </c>
      <c r="AC1" s="354">
        <v>42583</v>
      </c>
      <c r="AD1" s="354">
        <v>42614</v>
      </c>
      <c r="AE1" s="354">
        <v>42644</v>
      </c>
      <c r="AF1" s="354">
        <v>42675</v>
      </c>
      <c r="AG1" s="354">
        <v>42705</v>
      </c>
      <c r="AH1" s="354">
        <v>42736</v>
      </c>
      <c r="AI1" s="354">
        <v>42767</v>
      </c>
      <c r="AJ1" s="354">
        <v>42795</v>
      </c>
      <c r="AK1" s="354">
        <v>42826</v>
      </c>
      <c r="AL1" s="354">
        <v>42856</v>
      </c>
      <c r="AM1" s="354">
        <v>42887</v>
      </c>
      <c r="AN1" s="354">
        <v>42917</v>
      </c>
      <c r="AO1" s="354">
        <v>42948</v>
      </c>
      <c r="AP1" s="354">
        <v>42979</v>
      </c>
      <c r="AQ1" s="354">
        <v>43009</v>
      </c>
      <c r="AR1" s="354">
        <v>43040</v>
      </c>
      <c r="AS1" s="354">
        <v>43070</v>
      </c>
      <c r="AT1" s="354">
        <v>43101</v>
      </c>
      <c r="AU1" s="354">
        <v>43132</v>
      </c>
      <c r="AV1" s="354">
        <v>43160</v>
      </c>
      <c r="AW1" s="354">
        <v>43191</v>
      </c>
      <c r="AX1" s="354">
        <v>43221</v>
      </c>
      <c r="AY1" s="354">
        <v>43252</v>
      </c>
      <c r="AZ1" s="354">
        <v>43282</v>
      </c>
      <c r="BA1" s="354">
        <v>43313</v>
      </c>
      <c r="BB1" s="354">
        <v>43344</v>
      </c>
      <c r="BC1" s="354">
        <v>43374</v>
      </c>
      <c r="BD1" s="354">
        <v>43405</v>
      </c>
      <c r="BE1" s="354">
        <v>43435</v>
      </c>
      <c r="BF1" s="354">
        <v>43466</v>
      </c>
      <c r="BG1" s="354">
        <v>43497</v>
      </c>
      <c r="BH1" s="354">
        <v>43525</v>
      </c>
      <c r="BI1" s="354">
        <v>43556</v>
      </c>
      <c r="BJ1" s="354">
        <v>43586</v>
      </c>
      <c r="BK1" s="354">
        <v>43617</v>
      </c>
      <c r="BL1" s="354">
        <v>43647</v>
      </c>
      <c r="BM1" s="354">
        <v>43678</v>
      </c>
      <c r="BN1" s="354">
        <v>43709</v>
      </c>
      <c r="BO1" s="354">
        <v>43739</v>
      </c>
      <c r="BP1" s="354">
        <v>43770</v>
      </c>
      <c r="BQ1" s="354">
        <v>43800</v>
      </c>
      <c r="BR1" s="354">
        <v>43831</v>
      </c>
      <c r="BS1" s="354">
        <v>43862</v>
      </c>
      <c r="BT1" s="354">
        <v>43891</v>
      </c>
      <c r="BU1" s="354">
        <v>43922</v>
      </c>
      <c r="BV1" s="354">
        <v>43952</v>
      </c>
      <c r="BW1" s="354">
        <v>43983</v>
      </c>
      <c r="BX1" s="354">
        <v>44013</v>
      </c>
      <c r="BY1" s="354">
        <v>44044</v>
      </c>
      <c r="BZ1" s="354">
        <v>44075</v>
      </c>
      <c r="CA1" s="354">
        <v>44105</v>
      </c>
      <c r="CB1" s="354">
        <v>44136</v>
      </c>
      <c r="CC1" s="354">
        <v>44166</v>
      </c>
      <c r="CD1" s="354">
        <v>44197</v>
      </c>
      <c r="CE1" s="354">
        <v>44228</v>
      </c>
      <c r="CF1" s="354">
        <v>44256</v>
      </c>
      <c r="CG1" s="354">
        <v>44287</v>
      </c>
      <c r="CH1" s="354">
        <v>44317</v>
      </c>
      <c r="CI1" s="354">
        <v>44348</v>
      </c>
      <c r="CJ1" s="354">
        <v>44378</v>
      </c>
      <c r="CK1" s="354">
        <v>44409</v>
      </c>
      <c r="CL1" s="354">
        <v>44440</v>
      </c>
      <c r="CM1" s="355" t="s">
        <v>406</v>
      </c>
      <c r="CN1" s="58"/>
      <c r="CO1" s="58"/>
      <c r="CP1" s="58"/>
      <c r="CQ1" s="58"/>
      <c r="CR1" s="58"/>
      <c r="CS1" s="58"/>
      <c r="CT1" s="58"/>
      <c r="CU1" s="58"/>
      <c r="CV1" s="58"/>
      <c r="CW1" s="58"/>
      <c r="CX1" s="58"/>
      <c r="CY1" s="58"/>
      <c r="CZ1" s="58"/>
      <c r="DA1" s="58"/>
      <c r="DB1" s="58"/>
      <c r="DC1" s="58"/>
      <c r="DD1" s="58"/>
      <c r="DE1" s="58"/>
      <c r="DF1" s="58"/>
      <c r="DG1" s="58"/>
      <c r="DH1" s="58"/>
      <c r="DI1" s="58"/>
      <c r="DJ1" s="58"/>
      <c r="DK1" s="58"/>
      <c r="DL1" s="58"/>
      <c r="DM1" s="58"/>
      <c r="DN1" s="58"/>
      <c r="DO1" s="58"/>
      <c r="DP1" s="58"/>
      <c r="DQ1" s="58"/>
      <c r="DR1" s="58"/>
      <c r="DS1" s="58"/>
      <c r="DT1" s="58"/>
      <c r="DU1" s="58"/>
      <c r="DV1" s="58"/>
      <c r="DW1" s="58"/>
      <c r="DX1" s="58"/>
      <c r="DY1" s="58"/>
      <c r="DZ1" s="58"/>
      <c r="EA1" s="58"/>
      <c r="EB1" s="58"/>
      <c r="EC1" s="58"/>
      <c r="ED1" s="58"/>
      <c r="EE1" s="58"/>
      <c r="EF1" s="58"/>
      <c r="EG1" s="58"/>
      <c r="EH1" s="58"/>
      <c r="EI1" s="58"/>
      <c r="EJ1" s="58"/>
      <c r="EK1" s="58"/>
      <c r="EL1" s="58"/>
      <c r="EM1" s="58"/>
      <c r="EN1" s="58"/>
      <c r="EO1" s="58"/>
      <c r="EP1" s="58"/>
      <c r="EQ1" s="58"/>
      <c r="ER1" s="58"/>
      <c r="ES1" s="58"/>
      <c r="ET1" s="58"/>
      <c r="EU1" s="58"/>
      <c r="EV1" s="58"/>
      <c r="EW1" s="58"/>
      <c r="EX1" s="58"/>
      <c r="EY1" s="58"/>
      <c r="EZ1" s="58"/>
      <c r="FA1" s="58"/>
      <c r="FB1" s="58"/>
      <c r="FC1" s="58"/>
      <c r="FD1" s="58"/>
      <c r="FE1" s="58"/>
      <c r="FF1" s="58"/>
      <c r="FG1" s="58"/>
      <c r="FH1" s="58"/>
      <c r="FI1" s="58"/>
      <c r="FJ1" s="58"/>
      <c r="FK1" s="58"/>
      <c r="FL1" s="58"/>
      <c r="FM1" s="58"/>
      <c r="FN1" s="58"/>
      <c r="FO1" s="58"/>
      <c r="FP1" s="58"/>
      <c r="FQ1" s="58"/>
      <c r="FR1" s="58"/>
      <c r="FS1" s="58"/>
      <c r="FT1" s="58"/>
      <c r="FU1" s="58"/>
      <c r="FV1" s="58"/>
    </row>
    <row r="2" spans="1:178">
      <c r="A2" s="1057" t="s">
        <v>304</v>
      </c>
      <c r="B2" s="286" t="s">
        <v>305</v>
      </c>
      <c r="C2" s="356" t="s">
        <v>143</v>
      </c>
      <c r="D2" s="356"/>
      <c r="E2" s="357" t="s">
        <v>351</v>
      </c>
      <c r="F2" s="358" t="s">
        <v>149</v>
      </c>
      <c r="G2" s="358">
        <v>27200</v>
      </c>
      <c r="H2" s="358">
        <v>26500</v>
      </c>
      <c r="I2" s="358">
        <v>22100</v>
      </c>
      <c r="J2" s="358">
        <v>20800</v>
      </c>
      <c r="K2" s="358">
        <v>21100</v>
      </c>
      <c r="L2" s="358">
        <v>21750</v>
      </c>
      <c r="M2" s="358">
        <v>21300</v>
      </c>
      <c r="N2" s="358">
        <v>20990</v>
      </c>
      <c r="O2" s="358">
        <v>20650</v>
      </c>
      <c r="P2" s="358">
        <v>20330</v>
      </c>
      <c r="Q2" s="358">
        <v>20100</v>
      </c>
      <c r="R2" s="358">
        <v>19450</v>
      </c>
      <c r="S2" s="359">
        <v>20360</v>
      </c>
      <c r="T2" s="359">
        <v>19847</v>
      </c>
      <c r="U2" s="359">
        <v>19057</v>
      </c>
      <c r="V2" s="359">
        <v>22064</v>
      </c>
      <c r="W2" s="359">
        <v>21150</v>
      </c>
      <c r="X2" s="359">
        <v>18838</v>
      </c>
      <c r="Y2" s="359">
        <v>12077</v>
      </c>
      <c r="Z2" s="359">
        <v>13904</v>
      </c>
      <c r="AA2" s="359">
        <v>13226</v>
      </c>
      <c r="AB2" s="359">
        <v>13231</v>
      </c>
      <c r="AC2" s="359">
        <v>14922</v>
      </c>
      <c r="AD2" s="359">
        <v>14108</v>
      </c>
      <c r="AE2" s="359">
        <v>11044</v>
      </c>
      <c r="AF2" s="359">
        <v>15271</v>
      </c>
      <c r="AG2" s="359">
        <v>15211</v>
      </c>
      <c r="AH2" s="359">
        <v>17994</v>
      </c>
      <c r="AI2" s="359">
        <v>19354</v>
      </c>
      <c r="AJ2" s="359">
        <v>23522</v>
      </c>
      <c r="AK2" s="359">
        <v>24045</v>
      </c>
      <c r="AL2" s="359">
        <v>20362</v>
      </c>
      <c r="AM2" s="359">
        <v>19459</v>
      </c>
      <c r="AN2" s="359">
        <v>20413</v>
      </c>
      <c r="AO2" s="359">
        <v>15226</v>
      </c>
      <c r="AP2" s="359">
        <v>16877</v>
      </c>
      <c r="AQ2" s="359">
        <v>28834</v>
      </c>
      <c r="AR2" s="359">
        <v>29076</v>
      </c>
      <c r="AS2" s="359">
        <v>29937</v>
      </c>
      <c r="AT2" s="360">
        <v>28994.924777010401</v>
      </c>
      <c r="AU2" s="359">
        <v>29083.53795837006</v>
      </c>
      <c r="AV2" s="359">
        <v>34366.504780699324</v>
      </c>
      <c r="AW2" s="359">
        <v>33560.84076592559</v>
      </c>
      <c r="AX2" s="359">
        <v>26218.900621677058</v>
      </c>
      <c r="AY2" s="359">
        <v>35995.3751249493</v>
      </c>
      <c r="AZ2" s="359">
        <v>40427.168047868036</v>
      </c>
      <c r="BA2" s="359">
        <v>41802.471042837584</v>
      </c>
      <c r="BB2" s="359">
        <v>42113.614300327099</v>
      </c>
      <c r="BC2" s="359">
        <v>25996.232831627069</v>
      </c>
      <c r="BD2" s="359">
        <v>23233.174449043679</v>
      </c>
      <c r="BE2" s="359">
        <v>23262.637969758925</v>
      </c>
      <c r="BF2" s="359">
        <v>23907.7292329458</v>
      </c>
      <c r="BG2" s="359">
        <v>23317.963262738322</v>
      </c>
      <c r="BH2" s="359">
        <v>23383.118785073329</v>
      </c>
      <c r="BI2" s="359">
        <v>24651.246231346595</v>
      </c>
      <c r="BJ2" s="359">
        <v>24557.925586871806</v>
      </c>
      <c r="BK2" s="359">
        <v>24829.484559121953</v>
      </c>
      <c r="BL2" s="359">
        <v>25055.43026719796</v>
      </c>
      <c r="BM2" s="359">
        <v>25788.630012426867</v>
      </c>
      <c r="BN2" s="359">
        <v>24643.230588247261</v>
      </c>
      <c r="BO2" s="359">
        <v>22952.67731483098</v>
      </c>
      <c r="BP2" s="359">
        <v>22947.88884116093</v>
      </c>
      <c r="BQ2" s="359">
        <v>23317.24351414209</v>
      </c>
      <c r="BR2" s="359">
        <v>23890.571956586806</v>
      </c>
      <c r="BS2" s="359">
        <v>24228.610372014118</v>
      </c>
      <c r="BT2" s="359">
        <v>23541.978231953181</v>
      </c>
      <c r="BU2" s="359">
        <v>20644.541889138898</v>
      </c>
      <c r="BV2" s="359">
        <v>20890.304335565754</v>
      </c>
      <c r="BW2" s="359">
        <v>21374.533561952143</v>
      </c>
      <c r="BX2" s="359">
        <v>20823.815492546022</v>
      </c>
      <c r="BY2" s="359">
        <v>21262.530692823591</v>
      </c>
      <c r="BZ2" s="359">
        <v>21999.186981115297</v>
      </c>
      <c r="CA2" s="359">
        <v>19071.183854484243</v>
      </c>
      <c r="CB2" s="359">
        <v>18416.612908296738</v>
      </c>
      <c r="CC2" s="359">
        <v>19631.38584711331</v>
      </c>
      <c r="CD2" s="359">
        <v>18862.12739731725</v>
      </c>
      <c r="CE2" s="359">
        <v>19417.545218868301</v>
      </c>
      <c r="CF2" s="359">
        <v>19573.277993613043</v>
      </c>
      <c r="CG2" s="359">
        <v>19181.382115766464</v>
      </c>
      <c r="CH2" s="359">
        <v>19438.661485292767</v>
      </c>
      <c r="CI2" s="359">
        <v>19349.709140187424</v>
      </c>
      <c r="CJ2" s="359">
        <v>19586.01839165475</v>
      </c>
      <c r="CK2" s="359">
        <v>18872.315054019989</v>
      </c>
      <c r="CL2" s="358">
        <v>18949.614134508891</v>
      </c>
      <c r="CM2" s="359">
        <f t="shared" ref="CM2:CM14" si="0">AVERAGE(G2:CL2)</f>
        <v>22322.534022869251</v>
      </c>
      <c r="CN2" s="361" t="s">
        <v>164</v>
      </c>
      <c r="CO2" s="361"/>
      <c r="CP2" s="361"/>
      <c r="CQ2" s="361"/>
      <c r="CR2" s="361"/>
      <c r="CS2" s="361"/>
      <c r="CT2" s="361"/>
      <c r="CU2" s="361"/>
      <c r="CV2" s="361"/>
      <c r="CW2" s="361"/>
      <c r="CX2" s="361"/>
      <c r="CY2" s="361"/>
      <c r="CZ2" s="361"/>
      <c r="DA2" s="361"/>
      <c r="DB2" s="361"/>
      <c r="DC2" s="361"/>
      <c r="DD2" s="361"/>
      <c r="DE2" s="361"/>
      <c r="DF2" s="361"/>
      <c r="DG2" s="361"/>
      <c r="DH2" s="361"/>
      <c r="DI2" s="361"/>
      <c r="DJ2" s="361"/>
      <c r="DK2" s="361"/>
      <c r="DL2" s="361"/>
      <c r="DM2" s="361"/>
      <c r="DN2" s="361"/>
      <c r="DO2" s="361"/>
      <c r="DP2" s="361"/>
      <c r="DQ2" s="361"/>
      <c r="DR2" s="361"/>
      <c r="DS2" s="361"/>
      <c r="DT2" s="361"/>
      <c r="DU2" s="361"/>
      <c r="DV2" s="361"/>
      <c r="DW2" s="361"/>
      <c r="DX2" s="361"/>
      <c r="DY2" s="361"/>
      <c r="DZ2" s="361"/>
      <c r="EA2" s="361"/>
      <c r="EB2" s="361"/>
      <c r="EC2" s="58"/>
      <c r="ED2" s="58"/>
      <c r="EE2" s="58"/>
      <c r="EF2" s="58"/>
      <c r="EG2" s="58"/>
      <c r="EH2" s="58"/>
      <c r="EI2" s="58"/>
      <c r="EJ2" s="58"/>
      <c r="EK2" s="58"/>
      <c r="EL2" s="58"/>
      <c r="EM2" s="58"/>
      <c r="EN2" s="58"/>
      <c r="EO2" s="58"/>
      <c r="EP2" s="58"/>
      <c r="EQ2" s="58"/>
      <c r="ER2" s="58"/>
      <c r="ES2" s="58"/>
      <c r="ET2" s="58"/>
      <c r="EU2" s="58"/>
      <c r="EV2" s="58"/>
      <c r="EW2" s="58"/>
      <c r="EX2" s="58"/>
      <c r="EY2" s="58"/>
      <c r="EZ2" s="58"/>
      <c r="FA2" s="58"/>
      <c r="FB2" s="58"/>
      <c r="FC2" s="58"/>
      <c r="FD2" s="58"/>
      <c r="FE2" s="58"/>
      <c r="FF2" s="58"/>
      <c r="FG2" s="58"/>
      <c r="FH2" s="58"/>
      <c r="FI2" s="58"/>
      <c r="FJ2" s="58"/>
      <c r="FK2" s="58"/>
      <c r="FL2" s="58"/>
      <c r="FM2" s="58"/>
      <c r="FN2" s="58"/>
      <c r="FO2" s="58"/>
      <c r="FP2" s="58"/>
      <c r="FQ2" s="58"/>
      <c r="FR2" s="58"/>
      <c r="FS2" s="58"/>
      <c r="FT2" s="58"/>
      <c r="FU2" s="58"/>
      <c r="FV2" s="58"/>
    </row>
    <row r="3" spans="1:178">
      <c r="A3" s="1058"/>
      <c r="B3" s="2" t="s">
        <v>305</v>
      </c>
      <c r="C3" s="362" t="s">
        <v>143</v>
      </c>
      <c r="D3" s="362"/>
      <c r="E3" s="58" t="s">
        <v>351</v>
      </c>
      <c r="F3" s="363" t="s">
        <v>0</v>
      </c>
      <c r="G3" s="363">
        <v>40150</v>
      </c>
      <c r="H3" s="363">
        <v>39300</v>
      </c>
      <c r="I3" s="363">
        <v>34500</v>
      </c>
      <c r="J3" s="363">
        <v>33240</v>
      </c>
      <c r="K3" s="363">
        <v>32750</v>
      </c>
      <c r="L3" s="363">
        <v>33100</v>
      </c>
      <c r="M3" s="363">
        <v>32650</v>
      </c>
      <c r="N3" s="363">
        <v>32300</v>
      </c>
      <c r="O3" s="363">
        <v>30100</v>
      </c>
      <c r="P3" s="363">
        <v>29600</v>
      </c>
      <c r="Q3" s="363">
        <v>29300</v>
      </c>
      <c r="R3" s="363">
        <v>28200</v>
      </c>
      <c r="S3" s="319">
        <v>29130</v>
      </c>
      <c r="T3" s="319">
        <v>27980</v>
      </c>
      <c r="U3" s="319">
        <v>28450</v>
      </c>
      <c r="V3" s="319">
        <v>31940</v>
      </c>
      <c r="W3" s="319">
        <v>32360</v>
      </c>
      <c r="X3" s="319">
        <v>27300</v>
      </c>
      <c r="Y3" s="319">
        <v>23430</v>
      </c>
      <c r="Z3" s="319">
        <v>24600</v>
      </c>
      <c r="AA3" s="319">
        <v>24100</v>
      </c>
      <c r="AB3" s="319">
        <v>24900</v>
      </c>
      <c r="AC3" s="319">
        <v>23180</v>
      </c>
      <c r="AD3" s="319">
        <v>22750</v>
      </c>
      <c r="AE3" s="319">
        <v>21350</v>
      </c>
      <c r="AF3" s="319">
        <v>24020</v>
      </c>
      <c r="AG3" s="319">
        <v>27070</v>
      </c>
      <c r="AH3" s="319">
        <v>28500</v>
      </c>
      <c r="AI3" s="319">
        <v>30640</v>
      </c>
      <c r="AJ3" s="319">
        <v>33490</v>
      </c>
      <c r="AK3" s="319">
        <v>34890</v>
      </c>
      <c r="AL3" s="319">
        <v>32270</v>
      </c>
      <c r="AM3" s="319">
        <v>29650</v>
      </c>
      <c r="AN3" s="319">
        <v>28360</v>
      </c>
      <c r="AO3" s="319">
        <v>25780</v>
      </c>
      <c r="AP3" s="319">
        <v>28790</v>
      </c>
      <c r="AQ3" s="319">
        <v>37740</v>
      </c>
      <c r="AR3" s="319">
        <v>38910</v>
      </c>
      <c r="AS3" s="319">
        <v>39200</v>
      </c>
      <c r="AT3" s="364">
        <v>39267.739761524499</v>
      </c>
      <c r="AU3" s="319">
        <v>35320.99284552411</v>
      </c>
      <c r="AV3" s="319">
        <v>32642.643561859699</v>
      </c>
      <c r="AW3" s="319">
        <v>32591.713857151481</v>
      </c>
      <c r="AX3" s="319">
        <v>35322.25032773053</v>
      </c>
      <c r="AY3" s="319">
        <v>39703.969071957552</v>
      </c>
      <c r="AZ3" s="319">
        <v>39873.279388030664</v>
      </c>
      <c r="BA3" s="319">
        <v>42186.838343884381</v>
      </c>
      <c r="BB3" s="319">
        <v>45353.692547267237</v>
      </c>
      <c r="BC3" s="319">
        <v>50421.563709397698</v>
      </c>
      <c r="BD3" s="319">
        <v>40583.378652357023</v>
      </c>
      <c r="BE3" s="319">
        <v>32948.17063043618</v>
      </c>
      <c r="BF3" s="319">
        <v>31831.243798285665</v>
      </c>
      <c r="BG3" s="319">
        <v>32775.625890130817</v>
      </c>
      <c r="BH3" s="319">
        <v>35603.026406517805</v>
      </c>
      <c r="BI3" s="319">
        <v>37413.346401247443</v>
      </c>
      <c r="BJ3" s="319">
        <v>38313.43145419551</v>
      </c>
      <c r="BK3" s="319">
        <v>31229.255203616198</v>
      </c>
      <c r="BL3" s="319">
        <v>26987.793742556612</v>
      </c>
      <c r="BM3" s="319">
        <v>27502.94958707604</v>
      </c>
      <c r="BN3" s="319">
        <v>26129.656129075174</v>
      </c>
      <c r="BO3" s="319">
        <v>31204.144072500429</v>
      </c>
      <c r="BP3" s="319">
        <v>32130.775456387943</v>
      </c>
      <c r="BQ3" s="319">
        <v>32763.935287141259</v>
      </c>
      <c r="BR3" s="319">
        <v>42146.917092812088</v>
      </c>
      <c r="BS3" s="319">
        <v>37776.741118253449</v>
      </c>
      <c r="BT3" s="319">
        <v>33392.157412302018</v>
      </c>
      <c r="BU3" s="319">
        <v>18333.270191784217</v>
      </c>
      <c r="BV3" s="319">
        <v>26907.499996889728</v>
      </c>
      <c r="BW3" s="319">
        <v>27733.582571128205</v>
      </c>
      <c r="BX3" s="319">
        <v>28238.348704213</v>
      </c>
      <c r="BY3" s="319">
        <v>28510.385603307008</v>
      </c>
      <c r="BZ3" s="319">
        <v>28060.277302456198</v>
      </c>
      <c r="CA3" s="319">
        <v>28820.536895295158</v>
      </c>
      <c r="CB3" s="319">
        <v>33404.388819080297</v>
      </c>
      <c r="CC3" s="319">
        <v>34644.168688458158</v>
      </c>
      <c r="CD3" s="319">
        <v>42078.873462612726</v>
      </c>
      <c r="CE3" s="319">
        <v>46073.542822435593</v>
      </c>
      <c r="CF3" s="319">
        <v>47621.606524213996</v>
      </c>
      <c r="CG3" s="319">
        <v>43640.112363280605</v>
      </c>
      <c r="CH3" s="319">
        <v>37985.33224426135</v>
      </c>
      <c r="CI3" s="319">
        <v>40810.0621081149</v>
      </c>
      <c r="CJ3" s="319">
        <v>48277.341437526047</v>
      </c>
      <c r="CK3" s="319">
        <v>51157.210854820602</v>
      </c>
      <c r="CL3" s="363">
        <v>51107.125769928265</v>
      </c>
      <c r="CM3" s="319">
        <f t="shared" si="0"/>
        <v>33366.558310821732</v>
      </c>
      <c r="CN3" s="58"/>
      <c r="CO3" s="361" t="s">
        <v>165</v>
      </c>
      <c r="CP3" s="361" t="s">
        <v>166</v>
      </c>
      <c r="CQ3" s="361" t="s">
        <v>167</v>
      </c>
      <c r="CR3" s="361" t="s">
        <v>1</v>
      </c>
      <c r="CS3" s="58"/>
      <c r="CT3" s="58"/>
      <c r="CU3" s="58"/>
      <c r="CV3" s="58"/>
      <c r="CW3" s="58"/>
      <c r="DB3" s="75"/>
      <c r="DC3" s="75"/>
      <c r="DD3" s="75"/>
      <c r="DE3" s="75"/>
      <c r="DF3" s="75"/>
      <c r="DG3" s="75"/>
      <c r="DH3" s="75"/>
      <c r="DI3" s="75"/>
      <c r="DJ3" s="75"/>
      <c r="DK3" s="75"/>
      <c r="DL3" s="75"/>
      <c r="DM3" s="75"/>
      <c r="DN3" s="75"/>
      <c r="DO3" s="75"/>
      <c r="DP3" s="75"/>
      <c r="DQ3" s="75"/>
      <c r="DR3" s="75"/>
      <c r="DS3" s="75"/>
      <c r="DT3" s="75"/>
      <c r="DU3" s="75"/>
      <c r="DV3" s="75"/>
      <c r="DW3" s="75"/>
      <c r="DX3" s="75"/>
      <c r="DY3" s="75"/>
      <c r="DZ3" s="75"/>
      <c r="EA3" s="75"/>
      <c r="EB3" s="75"/>
      <c r="EC3" s="58"/>
      <c r="ED3" s="58"/>
      <c r="EE3" s="58"/>
      <c r="EF3" s="58"/>
      <c r="EG3" s="58"/>
      <c r="EH3" s="58"/>
      <c r="EI3" s="58"/>
      <c r="EJ3" s="58"/>
      <c r="EK3" s="58"/>
      <c r="EL3" s="58"/>
      <c r="EM3" s="58"/>
      <c r="EN3" s="58"/>
      <c r="EO3" s="58"/>
      <c r="EP3" s="58"/>
      <c r="EQ3" s="58"/>
      <c r="ER3" s="58"/>
      <c r="ES3" s="58"/>
      <c r="ET3" s="58"/>
      <c r="EU3" s="58"/>
      <c r="EV3" s="58"/>
      <c r="EW3" s="58"/>
      <c r="EX3" s="58"/>
      <c r="EY3" s="58"/>
      <c r="EZ3" s="58"/>
      <c r="FA3" s="58"/>
      <c r="FB3" s="58"/>
      <c r="FC3" s="58"/>
      <c r="FD3" s="58"/>
      <c r="FE3" s="58"/>
      <c r="FF3" s="58"/>
      <c r="FG3" s="58"/>
      <c r="FH3" s="58"/>
      <c r="FI3" s="58"/>
      <c r="FJ3" s="58"/>
      <c r="FK3" s="58"/>
      <c r="FL3" s="58"/>
      <c r="FM3" s="58"/>
      <c r="FN3" s="58"/>
      <c r="FO3" s="58"/>
      <c r="FP3" s="58"/>
      <c r="FQ3" s="58"/>
      <c r="FR3" s="58"/>
      <c r="FS3" s="58"/>
      <c r="FT3" s="58"/>
      <c r="FU3" s="58"/>
      <c r="FV3" s="58"/>
    </row>
    <row r="4" spans="1:178">
      <c r="A4" s="1058"/>
      <c r="B4" s="2" t="s">
        <v>305</v>
      </c>
      <c r="C4" s="362" t="s">
        <v>143</v>
      </c>
      <c r="D4" s="362"/>
      <c r="E4" s="58" t="s">
        <v>351</v>
      </c>
      <c r="F4" s="363" t="s">
        <v>306</v>
      </c>
      <c r="G4" s="363">
        <v>36200</v>
      </c>
      <c r="H4" s="363">
        <v>34500</v>
      </c>
      <c r="I4" s="363">
        <v>31500</v>
      </c>
      <c r="J4" s="363">
        <v>30200</v>
      </c>
      <c r="K4" s="363">
        <v>29900</v>
      </c>
      <c r="L4" s="363">
        <v>30600</v>
      </c>
      <c r="M4" s="363">
        <v>29500</v>
      </c>
      <c r="N4" s="363">
        <v>29100</v>
      </c>
      <c r="O4" s="363">
        <v>28900</v>
      </c>
      <c r="P4" s="363">
        <v>28700</v>
      </c>
      <c r="Q4" s="363">
        <v>28520</v>
      </c>
      <c r="R4" s="363">
        <v>27450</v>
      </c>
      <c r="S4" s="319">
        <v>28747</v>
      </c>
      <c r="T4" s="319">
        <v>26363</v>
      </c>
      <c r="U4" s="319">
        <v>28314</v>
      </c>
      <c r="V4" s="319">
        <v>30904</v>
      </c>
      <c r="W4" s="319">
        <v>32179</v>
      </c>
      <c r="X4" s="319">
        <v>25459</v>
      </c>
      <c r="Y4" s="319">
        <v>22444</v>
      </c>
      <c r="Z4" s="319">
        <v>22701</v>
      </c>
      <c r="AA4" s="319">
        <v>23254</v>
      </c>
      <c r="AB4" s="319">
        <v>24690</v>
      </c>
      <c r="AC4" s="319">
        <v>21943</v>
      </c>
      <c r="AD4" s="319">
        <v>21072</v>
      </c>
      <c r="AE4" s="319">
        <v>20684</v>
      </c>
      <c r="AF4" s="319">
        <v>22360</v>
      </c>
      <c r="AG4" s="319">
        <v>26129</v>
      </c>
      <c r="AH4" s="319">
        <v>28230</v>
      </c>
      <c r="AI4" s="319">
        <v>29816</v>
      </c>
      <c r="AJ4" s="319">
        <v>32258</v>
      </c>
      <c r="AK4" s="319">
        <v>33673</v>
      </c>
      <c r="AL4" s="319">
        <v>31199</v>
      </c>
      <c r="AM4" s="319">
        <v>28636</v>
      </c>
      <c r="AN4" s="319">
        <v>28048</v>
      </c>
      <c r="AO4" s="319">
        <v>25686</v>
      </c>
      <c r="AP4" s="319">
        <v>28291</v>
      </c>
      <c r="AQ4" s="319">
        <v>36800</v>
      </c>
      <c r="AR4" s="319">
        <v>37009</v>
      </c>
      <c r="AS4" s="319">
        <v>39032</v>
      </c>
      <c r="AT4" s="364">
        <v>37934.865946679616</v>
      </c>
      <c r="AU4" s="319">
        <v>33977.640442957862</v>
      </c>
      <c r="AV4" s="319">
        <v>31621.932879798373</v>
      </c>
      <c r="AW4" s="319">
        <v>32245.619069523007</v>
      </c>
      <c r="AX4" s="319">
        <v>35684.70245863789</v>
      </c>
      <c r="AY4" s="319">
        <v>39729.847125147098</v>
      </c>
      <c r="AZ4" s="319">
        <v>40952.16644234657</v>
      </c>
      <c r="BA4" s="319">
        <v>43265.008516764698</v>
      </c>
      <c r="BB4" s="319">
        <v>47988.175639430039</v>
      </c>
      <c r="BC4" s="319">
        <v>50433.177687914897</v>
      </c>
      <c r="BD4" s="319">
        <v>39526.941750297483</v>
      </c>
      <c r="BE4" s="319">
        <v>30706.727022092222</v>
      </c>
      <c r="BF4" s="319">
        <v>31116.496307792124</v>
      </c>
      <c r="BG4" s="319">
        <v>35009.966798561858</v>
      </c>
      <c r="BH4" s="319">
        <v>37788.034281404027</v>
      </c>
      <c r="BI4" s="319">
        <v>38867.056236388496</v>
      </c>
      <c r="BJ4" s="319">
        <v>38678.266268318395</v>
      </c>
      <c r="BK4" s="319">
        <v>30138.909034848981</v>
      </c>
      <c r="BL4" s="319">
        <v>25548.609383721534</v>
      </c>
      <c r="BM4" s="319">
        <v>26760.845915432019</v>
      </c>
      <c r="BN4" s="319">
        <v>26872.996097798805</v>
      </c>
      <c r="BO4" s="319">
        <v>32318.693176917925</v>
      </c>
      <c r="BP4" s="319">
        <v>33253.389942674119</v>
      </c>
      <c r="BQ4" s="319">
        <v>33880.879188109247</v>
      </c>
      <c r="BR4" s="319">
        <v>44015.264630194491</v>
      </c>
      <c r="BS4" s="319">
        <v>40776.774414982094</v>
      </c>
      <c r="BT4" s="319">
        <v>37265.269327664537</v>
      </c>
      <c r="BU4" s="319">
        <v>19125.668604651164</v>
      </c>
      <c r="BV4" s="319">
        <v>26903.941500000001</v>
      </c>
      <c r="BW4" s="319">
        <v>26159.661614028053</v>
      </c>
      <c r="BX4" s="319">
        <v>26674.737698603414</v>
      </c>
      <c r="BY4" s="319">
        <v>26951.072804257299</v>
      </c>
      <c r="BZ4" s="319">
        <v>27292.749632570878</v>
      </c>
      <c r="CA4" s="319">
        <v>29207.059319259082</v>
      </c>
      <c r="CB4" s="319">
        <v>34185.03825123742</v>
      </c>
      <c r="CC4" s="319">
        <v>35409.408776058146</v>
      </c>
      <c r="CD4" s="319">
        <v>40548.590675430503</v>
      </c>
      <c r="CE4" s="319">
        <v>44551.491526971819</v>
      </c>
      <c r="CF4" s="319">
        <v>45328.551547510528</v>
      </c>
      <c r="CG4" s="319">
        <v>41304.84915769448</v>
      </c>
      <c r="CH4" s="319">
        <v>36449.953636561011</v>
      </c>
      <c r="CI4" s="319">
        <v>40423.343654069329</v>
      </c>
      <c r="CJ4" s="319">
        <v>48277.23010084885</v>
      </c>
      <c r="CK4" s="319">
        <v>50779.51102849115</v>
      </c>
      <c r="CL4" s="363">
        <v>51112.515377978409</v>
      </c>
      <c r="CM4" s="319">
        <f t="shared" si="0"/>
        <v>32714.697986816904</v>
      </c>
      <c r="CN4" s="75" t="s">
        <v>168</v>
      </c>
      <c r="CO4" s="365">
        <v>0.98795180722891562</v>
      </c>
      <c r="CP4" s="365">
        <v>0.65714285714285725</v>
      </c>
      <c r="CQ4" s="365">
        <v>0.57894736842105254</v>
      </c>
      <c r="CR4" s="365">
        <v>0.57894736842105254</v>
      </c>
      <c r="CS4" s="75"/>
      <c r="CT4" s="75"/>
      <c r="CU4" s="75"/>
      <c r="CV4" s="75"/>
      <c r="CW4" s="75"/>
      <c r="DB4" s="75"/>
      <c r="DC4" s="75"/>
      <c r="DD4" s="75"/>
      <c r="DE4" s="75"/>
      <c r="DF4" s="75"/>
      <c r="DG4" s="75"/>
      <c r="DH4" s="75"/>
      <c r="DI4" s="75"/>
      <c r="DJ4" s="75"/>
      <c r="DK4" s="75"/>
      <c r="DL4" s="75"/>
      <c r="DM4" s="75"/>
      <c r="DN4" s="75"/>
      <c r="DO4" s="75"/>
      <c r="DP4" s="75"/>
      <c r="DQ4" s="75"/>
      <c r="DR4" s="75"/>
      <c r="DS4" s="75"/>
      <c r="DT4" s="75"/>
      <c r="DU4" s="75"/>
      <c r="DV4" s="75"/>
      <c r="DW4" s="75"/>
      <c r="DX4" s="75"/>
      <c r="DY4" s="75"/>
      <c r="DZ4" s="75"/>
      <c r="EA4" s="75"/>
      <c r="EB4" s="75"/>
      <c r="EC4" s="58"/>
      <c r="ED4" s="58"/>
      <c r="EE4" s="58"/>
      <c r="EF4" s="58"/>
      <c r="EG4" s="58"/>
      <c r="EH4" s="58"/>
      <c r="EI4" s="58"/>
      <c r="EJ4" s="58"/>
      <c r="EK4" s="58"/>
      <c r="EL4" s="58"/>
      <c r="EM4" s="58"/>
      <c r="EN4" s="58"/>
      <c r="EO4" s="58"/>
      <c r="EP4" s="58"/>
      <c r="EQ4" s="58"/>
      <c r="ER4" s="58"/>
      <c r="ES4" s="58"/>
      <c r="ET4" s="58"/>
      <c r="EU4" s="58"/>
      <c r="EV4" s="58"/>
      <c r="EW4" s="58"/>
      <c r="EX4" s="58"/>
      <c r="EY4" s="58"/>
      <c r="EZ4" s="58"/>
      <c r="FA4" s="58"/>
      <c r="FB4" s="58"/>
      <c r="FC4" s="58"/>
      <c r="FD4" s="58"/>
      <c r="FE4" s="58"/>
      <c r="FF4" s="58"/>
      <c r="FG4" s="58"/>
      <c r="FH4" s="58"/>
      <c r="FI4" s="58"/>
      <c r="FJ4" s="58"/>
      <c r="FK4" s="58"/>
      <c r="FL4" s="58"/>
      <c r="FM4" s="58"/>
      <c r="FN4" s="58"/>
      <c r="FO4" s="58"/>
      <c r="FP4" s="58"/>
      <c r="FQ4" s="58"/>
      <c r="FR4" s="58"/>
      <c r="FS4" s="58"/>
      <c r="FT4" s="58"/>
      <c r="FU4" s="58"/>
      <c r="FV4" s="58"/>
    </row>
    <row r="5" spans="1:178">
      <c r="A5" s="1058"/>
      <c r="B5" s="2" t="s">
        <v>305</v>
      </c>
      <c r="C5" s="362" t="s">
        <v>143</v>
      </c>
      <c r="D5" s="362"/>
      <c r="E5" s="58" t="s">
        <v>351</v>
      </c>
      <c r="F5" s="363" t="s">
        <v>1</v>
      </c>
      <c r="G5" s="363">
        <v>36300</v>
      </c>
      <c r="H5" s="363">
        <v>36700</v>
      </c>
      <c r="I5" s="363">
        <v>34100</v>
      </c>
      <c r="J5" s="363">
        <v>33500</v>
      </c>
      <c r="K5" s="363">
        <v>33200</v>
      </c>
      <c r="L5" s="363">
        <v>34250</v>
      </c>
      <c r="M5" s="363">
        <v>33910</v>
      </c>
      <c r="N5" s="363">
        <v>33560</v>
      </c>
      <c r="O5" s="363">
        <v>33150</v>
      </c>
      <c r="P5" s="363">
        <v>32700</v>
      </c>
      <c r="Q5" s="363">
        <v>32500</v>
      </c>
      <c r="R5" s="363">
        <v>31300</v>
      </c>
      <c r="S5" s="319">
        <v>31650</v>
      </c>
      <c r="T5" s="319">
        <v>32800</v>
      </c>
      <c r="U5" s="319">
        <v>26340</v>
      </c>
      <c r="V5" s="319">
        <v>28480</v>
      </c>
      <c r="W5" s="319">
        <v>20020</v>
      </c>
      <c r="X5" s="319">
        <v>25660</v>
      </c>
      <c r="Y5" s="319">
        <v>28320</v>
      </c>
      <c r="Z5" s="319">
        <v>30450</v>
      </c>
      <c r="AA5" s="319">
        <v>29180</v>
      </c>
      <c r="AB5" s="319">
        <v>31960</v>
      </c>
      <c r="AC5" s="319">
        <v>26540</v>
      </c>
      <c r="AD5" s="319">
        <v>27640</v>
      </c>
      <c r="AE5" s="319">
        <v>23620</v>
      </c>
      <c r="AF5" s="319">
        <v>28960</v>
      </c>
      <c r="AG5" s="319">
        <v>29300</v>
      </c>
      <c r="AH5" s="319">
        <v>38070</v>
      </c>
      <c r="AI5" s="319">
        <v>37660</v>
      </c>
      <c r="AJ5" s="319">
        <v>35300</v>
      </c>
      <c r="AK5" s="319">
        <v>36270</v>
      </c>
      <c r="AL5" s="319">
        <v>31820</v>
      </c>
      <c r="AM5" s="319">
        <v>30160</v>
      </c>
      <c r="AN5" s="319">
        <v>30620</v>
      </c>
      <c r="AO5" s="319">
        <v>32030</v>
      </c>
      <c r="AP5" s="319">
        <v>26430</v>
      </c>
      <c r="AQ5" s="319">
        <v>40470</v>
      </c>
      <c r="AR5" s="319">
        <v>37160</v>
      </c>
      <c r="AS5" s="319">
        <v>35280</v>
      </c>
      <c r="AT5" s="364">
        <v>37468.917824886834</v>
      </c>
      <c r="AU5" s="319">
        <v>34979.7952647251</v>
      </c>
      <c r="AV5" s="319">
        <v>36995.226789598193</v>
      </c>
      <c r="AW5" s="319">
        <v>38411.434700802383</v>
      </c>
      <c r="AX5" s="319">
        <v>43077.696672195132</v>
      </c>
      <c r="AY5" s="319">
        <v>42339.113972658684</v>
      </c>
      <c r="AZ5" s="319">
        <v>44176.800315880733</v>
      </c>
      <c r="BA5" s="319">
        <v>45449.873001355765</v>
      </c>
      <c r="BB5" s="319">
        <v>48374.835244225556</v>
      </c>
      <c r="BC5" s="319">
        <v>49736.488507928807</v>
      </c>
      <c r="BD5" s="319">
        <v>36558.702058330193</v>
      </c>
      <c r="BE5" s="319">
        <v>31387.522192377604</v>
      </c>
      <c r="BF5" s="319">
        <v>31954.700264411553</v>
      </c>
      <c r="BG5" s="319">
        <v>35488.590056570771</v>
      </c>
      <c r="BH5" s="319">
        <v>37151.720463657031</v>
      </c>
      <c r="BI5" s="319">
        <v>40224.487971509581</v>
      </c>
      <c r="BJ5" s="319">
        <v>39776.808056372938</v>
      </c>
      <c r="BK5" s="319">
        <v>32806.091323106572</v>
      </c>
      <c r="BL5" s="319">
        <v>34852.034397102398</v>
      </c>
      <c r="BM5" s="319">
        <v>32743.412011815777</v>
      </c>
      <c r="BN5" s="319">
        <v>33941.49447086802</v>
      </c>
      <c r="BO5" s="319">
        <v>36161.070807658274</v>
      </c>
      <c r="BP5" s="319">
        <v>36208.29768815585</v>
      </c>
      <c r="BQ5" s="319">
        <v>39212.402929615775</v>
      </c>
      <c r="BR5" s="319">
        <v>38005.50999905145</v>
      </c>
      <c r="BS5" s="319">
        <v>33948.919195272174</v>
      </c>
      <c r="BT5" s="319">
        <v>21830.230520384102</v>
      </c>
      <c r="BU5" s="319">
        <v>41618.000025444984</v>
      </c>
      <c r="BV5" s="319">
        <v>36293.110003071568</v>
      </c>
      <c r="BW5" s="319">
        <v>40230.560009202418</v>
      </c>
      <c r="BX5" s="319">
        <v>28984.506728422391</v>
      </c>
      <c r="BY5" s="319">
        <v>29296.224637839514</v>
      </c>
      <c r="BZ5" s="319">
        <v>28071.268352741423</v>
      </c>
      <c r="CA5" s="319">
        <v>23219.340304109319</v>
      </c>
      <c r="CB5" s="319">
        <v>27680.138169883663</v>
      </c>
      <c r="CC5" s="319">
        <v>31896.526510107997</v>
      </c>
      <c r="CD5" s="319">
        <v>36352.617012931434</v>
      </c>
      <c r="CE5" s="319">
        <v>40134.773482798308</v>
      </c>
      <c r="CF5" s="319">
        <v>42943.647213612938</v>
      </c>
      <c r="CG5" s="319">
        <v>41061.486307385807</v>
      </c>
      <c r="CH5" s="319">
        <v>43266.069260132143</v>
      </c>
      <c r="CI5" s="319">
        <v>46764.427300723</v>
      </c>
      <c r="CJ5" s="319">
        <v>49848.163616800543</v>
      </c>
      <c r="CK5" s="319">
        <v>47958.871071535585</v>
      </c>
      <c r="CL5" s="363">
        <v>49198.016422217115</v>
      </c>
      <c r="CM5" s="319">
        <f t="shared" si="0"/>
        <v>34945.713370589001</v>
      </c>
      <c r="CN5" s="75" t="s">
        <v>169</v>
      </c>
      <c r="CO5" s="365">
        <v>1.2048192771084376E-2</v>
      </c>
      <c r="CP5" s="365">
        <v>0.34285714285714275</v>
      </c>
      <c r="CQ5" s="365">
        <v>0.42105263157894746</v>
      </c>
      <c r="CR5" s="365">
        <v>0.42105263157894746</v>
      </c>
      <c r="CS5" s="75"/>
      <c r="CT5" s="75"/>
      <c r="CU5" s="75"/>
      <c r="CV5" s="75"/>
      <c r="CW5" s="75"/>
      <c r="DB5" s="75"/>
      <c r="DC5" s="75"/>
      <c r="DD5" s="75"/>
      <c r="DE5" s="75"/>
      <c r="DF5" s="75"/>
      <c r="DG5" s="75"/>
      <c r="DH5" s="75"/>
      <c r="DI5" s="75"/>
      <c r="DJ5" s="75"/>
      <c r="DK5" s="75"/>
      <c r="DL5" s="75"/>
      <c r="DM5" s="75"/>
      <c r="DN5" s="75"/>
      <c r="DO5" s="75"/>
      <c r="DP5" s="75"/>
      <c r="DQ5" s="75"/>
      <c r="DR5" s="75"/>
      <c r="DS5" s="75"/>
      <c r="DT5" s="75"/>
      <c r="DU5" s="75"/>
      <c r="DV5" s="75"/>
      <c r="DW5" s="75"/>
      <c r="DX5" s="75"/>
      <c r="DY5" s="75"/>
      <c r="DZ5" s="75"/>
      <c r="EA5" s="75"/>
      <c r="EB5" s="75"/>
      <c r="EC5" s="366">
        <v>52.32</v>
      </c>
      <c r="ED5" s="75"/>
      <c r="EE5" s="75"/>
      <c r="EF5" s="75"/>
      <c r="EG5" s="58"/>
      <c r="EH5" s="58"/>
      <c r="EI5" s="58"/>
      <c r="EJ5" s="58"/>
      <c r="EK5" s="58"/>
      <c r="EL5" s="58"/>
      <c r="EM5" s="58"/>
      <c r="EN5" s="58"/>
      <c r="EO5" s="58"/>
      <c r="EP5" s="58"/>
      <c r="EQ5" s="58"/>
      <c r="ER5" s="58"/>
      <c r="ES5" s="58"/>
      <c r="ET5" s="58"/>
      <c r="EU5" s="58"/>
      <c r="EV5" s="58"/>
      <c r="EW5" s="58"/>
      <c r="EX5" s="58"/>
      <c r="EY5" s="58"/>
      <c r="EZ5" s="58"/>
      <c r="FA5" s="58"/>
      <c r="FB5" s="58"/>
      <c r="FC5" s="58"/>
      <c r="FD5" s="58"/>
      <c r="FE5" s="58"/>
      <c r="FF5" s="58"/>
      <c r="FG5" s="58"/>
      <c r="FH5" s="58"/>
      <c r="FI5" s="58"/>
      <c r="FJ5" s="58"/>
      <c r="FK5" s="58"/>
      <c r="FL5" s="58"/>
      <c r="FM5" s="58"/>
      <c r="FN5" s="58"/>
      <c r="FO5" s="58"/>
      <c r="FP5" s="58"/>
      <c r="FQ5" s="58"/>
      <c r="FR5" s="58"/>
      <c r="FS5" s="58"/>
      <c r="FT5" s="58"/>
      <c r="FU5" s="58"/>
      <c r="FV5" s="58"/>
    </row>
    <row r="6" spans="1:178">
      <c r="A6" s="1059"/>
      <c r="B6" s="224" t="s">
        <v>307</v>
      </c>
      <c r="C6" s="367" t="s">
        <v>308</v>
      </c>
      <c r="D6" s="367"/>
      <c r="E6" s="236" t="s">
        <v>351</v>
      </c>
      <c r="F6" s="368" t="s">
        <v>309</v>
      </c>
      <c r="G6" s="368">
        <v>690</v>
      </c>
      <c r="H6" s="368">
        <v>680</v>
      </c>
      <c r="I6" s="368">
        <v>640</v>
      </c>
      <c r="J6" s="368">
        <v>620</v>
      </c>
      <c r="K6" s="368">
        <v>595</v>
      </c>
      <c r="L6" s="368">
        <v>614</v>
      </c>
      <c r="M6" s="368">
        <v>602</v>
      </c>
      <c r="N6" s="368">
        <v>591</v>
      </c>
      <c r="O6" s="368">
        <v>582</v>
      </c>
      <c r="P6" s="368">
        <v>564</v>
      </c>
      <c r="Q6" s="368">
        <v>577</v>
      </c>
      <c r="R6" s="368">
        <v>544</v>
      </c>
      <c r="S6" s="319">
        <v>549</v>
      </c>
      <c r="T6" s="369">
        <v>562</v>
      </c>
      <c r="U6" s="369">
        <v>575</v>
      </c>
      <c r="V6" s="319">
        <v>588</v>
      </c>
      <c r="W6" s="369">
        <v>600</v>
      </c>
      <c r="X6" s="369">
        <v>614</v>
      </c>
      <c r="Y6" s="369">
        <v>628</v>
      </c>
      <c r="Z6" s="369">
        <v>638</v>
      </c>
      <c r="AA6" s="369">
        <v>651</v>
      </c>
      <c r="AB6" s="369">
        <v>664</v>
      </c>
      <c r="AC6" s="369">
        <v>677</v>
      </c>
      <c r="AD6" s="319">
        <v>689</v>
      </c>
      <c r="AE6" s="369">
        <v>602</v>
      </c>
      <c r="AF6" s="369">
        <v>615</v>
      </c>
      <c r="AG6" s="369">
        <v>628</v>
      </c>
      <c r="AH6" s="319">
        <v>640</v>
      </c>
      <c r="AI6" s="369">
        <v>654</v>
      </c>
      <c r="AJ6" s="369">
        <v>644</v>
      </c>
      <c r="AK6" s="369">
        <v>679</v>
      </c>
      <c r="AL6" s="369">
        <v>691</v>
      </c>
      <c r="AM6" s="369">
        <v>704</v>
      </c>
      <c r="AN6" s="369">
        <v>717</v>
      </c>
      <c r="AO6" s="369">
        <v>629.54360858123698</v>
      </c>
      <c r="AP6" s="369">
        <v>642.28255936563301</v>
      </c>
      <c r="AQ6" s="369">
        <v>655.02151015003005</v>
      </c>
      <c r="AR6" s="369">
        <v>667.76046093442596</v>
      </c>
      <c r="AS6" s="369">
        <v>680.49941171882301</v>
      </c>
      <c r="AT6" s="369">
        <v>693.23836250321904</v>
      </c>
      <c r="AU6" s="369">
        <v>725</v>
      </c>
      <c r="AV6" s="369">
        <v>731</v>
      </c>
      <c r="AW6" s="369">
        <v>683.35192411641094</v>
      </c>
      <c r="AX6" s="369">
        <v>727.45879248730159</v>
      </c>
      <c r="AY6" s="369">
        <v>790.46535767833188</v>
      </c>
      <c r="AZ6" s="369">
        <v>835.82228336641663</v>
      </c>
      <c r="BA6" s="369">
        <v>855.64779771974872</v>
      </c>
      <c r="BB6" s="369">
        <v>831.01152604586082</v>
      </c>
      <c r="BC6" s="369">
        <v>894.32305357357711</v>
      </c>
      <c r="BD6" s="369">
        <v>848.00352710543211</v>
      </c>
      <c r="BE6" s="369">
        <v>762.53950609685091</v>
      </c>
      <c r="BF6" s="369">
        <v>747.97322905859232</v>
      </c>
      <c r="BG6" s="369">
        <v>816.24945468112071</v>
      </c>
      <c r="BH6" s="369">
        <v>713.84568622483982</v>
      </c>
      <c r="BI6" s="369">
        <v>547.77</v>
      </c>
      <c r="BJ6" s="369">
        <v>505.25</v>
      </c>
      <c r="BK6" s="369">
        <v>522.21</v>
      </c>
      <c r="BL6" s="369">
        <v>559.08000000000004</v>
      </c>
      <c r="BM6" s="369">
        <v>496.47</v>
      </c>
      <c r="BN6" s="369">
        <v>463.19</v>
      </c>
      <c r="BO6" s="369">
        <v>620.35</v>
      </c>
      <c r="BP6" s="369">
        <v>540.62</v>
      </c>
      <c r="BQ6" s="369">
        <v>605.28</v>
      </c>
      <c r="BR6" s="369">
        <v>485.79</v>
      </c>
      <c r="BS6" s="369">
        <v>478.65</v>
      </c>
      <c r="BT6" s="369">
        <v>313.06</v>
      </c>
      <c r="BU6" s="369">
        <v>546.95000000000005</v>
      </c>
      <c r="BV6" s="369">
        <v>498.46</v>
      </c>
      <c r="BW6" s="369">
        <v>285.66000000000003</v>
      </c>
      <c r="BX6" s="369">
        <v>264.85000000000002</v>
      </c>
      <c r="BY6" s="369">
        <v>334.58</v>
      </c>
      <c r="BZ6" s="369">
        <v>410.09</v>
      </c>
      <c r="CA6" s="369">
        <v>471.71</v>
      </c>
      <c r="CB6" s="369">
        <v>532.29999999999995</v>
      </c>
      <c r="CC6" s="369">
        <v>588.39</v>
      </c>
      <c r="CD6" s="369">
        <v>675.69</v>
      </c>
      <c r="CE6" s="369">
        <v>872.05</v>
      </c>
      <c r="CF6" s="369">
        <v>766.06</v>
      </c>
      <c r="CG6" s="369">
        <v>565.04999999999995</v>
      </c>
      <c r="CH6" s="369">
        <v>567.25</v>
      </c>
      <c r="CI6" s="369">
        <v>619.33000000000004</v>
      </c>
      <c r="CJ6" s="369">
        <v>708.17</v>
      </c>
      <c r="CK6" s="369">
        <v>868.98</v>
      </c>
      <c r="CL6" s="370">
        <v>938.53</v>
      </c>
      <c r="CM6" s="319">
        <f t="shared" si="0"/>
        <v>629.65307204056967</v>
      </c>
      <c r="CN6" s="58"/>
      <c r="CO6" s="58"/>
      <c r="CP6" s="58"/>
      <c r="CQ6" s="58"/>
      <c r="CR6" s="58"/>
      <c r="CS6" s="58"/>
      <c r="CT6" s="58"/>
      <c r="CU6" s="58"/>
      <c r="CV6" s="58"/>
      <c r="CW6" s="58"/>
      <c r="CX6" s="58"/>
      <c r="CY6" s="58"/>
      <c r="CZ6" s="58"/>
      <c r="DA6" s="58"/>
      <c r="DB6" s="58"/>
      <c r="DC6" s="58"/>
      <c r="DD6" s="58"/>
      <c r="DE6" s="58"/>
      <c r="DF6" s="58"/>
      <c r="DG6" s="58"/>
      <c r="DH6" s="58"/>
      <c r="DI6" s="58"/>
      <c r="DJ6" s="58"/>
      <c r="DK6" s="58"/>
      <c r="DL6" s="58"/>
      <c r="DM6" s="58"/>
      <c r="DN6" s="58"/>
      <c r="DO6" s="58"/>
      <c r="DP6" s="58"/>
      <c r="DQ6" s="58"/>
      <c r="DR6" s="58"/>
      <c r="DS6" s="58"/>
      <c r="DT6" s="58"/>
      <c r="DU6" s="58"/>
      <c r="DV6" s="58"/>
      <c r="DW6" s="58"/>
      <c r="DX6" s="58"/>
      <c r="DY6" s="58"/>
      <c r="DZ6" s="58"/>
      <c r="EA6" s="58"/>
      <c r="EB6" s="58"/>
      <c r="EC6" s="58"/>
      <c r="ED6" s="58"/>
      <c r="EE6" s="58"/>
      <c r="EF6" s="58"/>
      <c r="EG6" s="58"/>
      <c r="EH6" s="58"/>
      <c r="EI6" s="58"/>
      <c r="EJ6" s="58"/>
      <c r="EK6" s="58"/>
      <c r="EL6" s="58"/>
      <c r="EM6" s="58"/>
      <c r="EN6" s="58"/>
      <c r="EO6" s="58"/>
      <c r="EP6" s="58"/>
      <c r="EQ6" s="58"/>
      <c r="ER6" s="58"/>
      <c r="ES6" s="58"/>
      <c r="ET6" s="58"/>
      <c r="EU6" s="58"/>
      <c r="EV6" s="58"/>
      <c r="EW6" s="58"/>
      <c r="EX6" s="58"/>
      <c r="EY6" s="58"/>
      <c r="EZ6" s="58"/>
      <c r="FA6" s="58"/>
      <c r="FB6" s="58"/>
      <c r="FC6" s="58"/>
      <c r="FD6" s="58"/>
      <c r="FE6" s="58"/>
      <c r="FF6" s="58"/>
      <c r="FG6" s="58"/>
      <c r="FH6" s="58"/>
      <c r="FI6" s="58"/>
      <c r="FJ6" s="58"/>
      <c r="FK6" s="58"/>
      <c r="FL6" s="58"/>
      <c r="FM6" s="58"/>
      <c r="FN6" s="58"/>
      <c r="FO6" s="58"/>
      <c r="FP6" s="58"/>
      <c r="FQ6" s="58"/>
      <c r="FR6" s="58"/>
      <c r="FS6" s="58"/>
      <c r="FT6" s="58"/>
      <c r="FU6" s="58"/>
      <c r="FV6" s="58"/>
    </row>
    <row r="7" spans="1:178">
      <c r="A7" s="1060" t="s">
        <v>310</v>
      </c>
      <c r="B7" s="286" t="s">
        <v>307</v>
      </c>
      <c r="C7" s="356" t="s">
        <v>143</v>
      </c>
      <c r="D7" s="356"/>
      <c r="E7" s="371" t="s">
        <v>351</v>
      </c>
      <c r="F7" s="372" t="s">
        <v>138</v>
      </c>
      <c r="G7" s="373">
        <v>56500</v>
      </c>
      <c r="H7" s="373">
        <v>56300</v>
      </c>
      <c r="I7" s="373">
        <v>56100</v>
      </c>
      <c r="J7" s="373">
        <v>55900</v>
      </c>
      <c r="K7" s="373">
        <v>55800</v>
      </c>
      <c r="L7" s="373">
        <v>55600</v>
      </c>
      <c r="M7" s="373">
        <v>55200</v>
      </c>
      <c r="N7" s="373">
        <v>57300</v>
      </c>
      <c r="O7" s="373">
        <v>54100</v>
      </c>
      <c r="P7" s="373">
        <v>55200</v>
      </c>
      <c r="Q7" s="373">
        <v>52300</v>
      </c>
      <c r="R7" s="373">
        <v>45600</v>
      </c>
      <c r="S7" s="373">
        <v>47020</v>
      </c>
      <c r="T7" s="373">
        <v>45750</v>
      </c>
      <c r="U7" s="373">
        <v>46150</v>
      </c>
      <c r="V7" s="373">
        <v>45650</v>
      </c>
      <c r="W7" s="373">
        <v>36940</v>
      </c>
      <c r="X7" s="373">
        <v>36950</v>
      </c>
      <c r="Y7" s="373">
        <v>37390</v>
      </c>
      <c r="Z7" s="373">
        <v>37950</v>
      </c>
      <c r="AA7" s="373">
        <v>38680</v>
      </c>
      <c r="AB7" s="373">
        <v>39250</v>
      </c>
      <c r="AC7" s="373">
        <v>39610</v>
      </c>
      <c r="AD7" s="373">
        <v>39920</v>
      </c>
      <c r="AE7" s="373">
        <v>39990</v>
      </c>
      <c r="AF7" s="373">
        <v>40250</v>
      </c>
      <c r="AG7" s="373">
        <v>41270</v>
      </c>
      <c r="AH7" s="373">
        <v>42350</v>
      </c>
      <c r="AI7" s="373">
        <v>57680</v>
      </c>
      <c r="AJ7" s="373">
        <v>60070</v>
      </c>
      <c r="AK7" s="373">
        <v>58600</v>
      </c>
      <c r="AL7" s="373">
        <v>56250</v>
      </c>
      <c r="AM7" s="373">
        <v>54760</v>
      </c>
      <c r="AN7" s="373">
        <v>53400</v>
      </c>
      <c r="AO7" s="373">
        <v>52470</v>
      </c>
      <c r="AP7" s="373">
        <v>51630</v>
      </c>
      <c r="AQ7" s="373">
        <v>52140</v>
      </c>
      <c r="AR7" s="373">
        <v>52030</v>
      </c>
      <c r="AS7" s="373">
        <v>51990</v>
      </c>
      <c r="AT7" s="373">
        <v>57152</v>
      </c>
      <c r="AU7" s="373">
        <v>58526</v>
      </c>
      <c r="AV7" s="373">
        <v>58277</v>
      </c>
      <c r="AW7" s="373">
        <v>55909</v>
      </c>
      <c r="AX7" s="373">
        <v>55303</v>
      </c>
      <c r="AY7" s="373">
        <v>58424</v>
      </c>
      <c r="AZ7" s="373">
        <v>56706</v>
      </c>
      <c r="BA7" s="373">
        <v>57565</v>
      </c>
      <c r="BB7" s="373">
        <v>61481</v>
      </c>
      <c r="BC7" s="373">
        <v>61877</v>
      </c>
      <c r="BD7" s="373">
        <v>61367</v>
      </c>
      <c r="BE7" s="373">
        <v>49658</v>
      </c>
      <c r="BF7" s="373">
        <v>41296</v>
      </c>
      <c r="BG7" s="373">
        <v>39412</v>
      </c>
      <c r="BH7" s="373">
        <v>42670</v>
      </c>
      <c r="BI7" s="373">
        <v>42621</v>
      </c>
      <c r="BJ7" s="373">
        <v>43930</v>
      </c>
      <c r="BK7" s="373">
        <v>44300</v>
      </c>
      <c r="BL7" s="373">
        <v>44000</v>
      </c>
      <c r="BM7" s="373">
        <v>46900</v>
      </c>
      <c r="BN7" s="373">
        <v>48100</v>
      </c>
      <c r="BO7" s="373">
        <v>52100</v>
      </c>
      <c r="BP7" s="373">
        <v>48600</v>
      </c>
      <c r="BQ7" s="373">
        <v>47000</v>
      </c>
      <c r="BR7" s="373">
        <v>52400</v>
      </c>
      <c r="BS7" s="373">
        <v>52900</v>
      </c>
      <c r="BT7" s="373">
        <v>48400</v>
      </c>
      <c r="BU7" s="373">
        <v>37400</v>
      </c>
      <c r="BV7" s="373">
        <v>24900</v>
      </c>
      <c r="BW7" s="373">
        <v>30300</v>
      </c>
      <c r="BX7" s="373">
        <v>33900</v>
      </c>
      <c r="BY7" s="373">
        <v>33100</v>
      </c>
      <c r="BZ7" s="373">
        <v>34400</v>
      </c>
      <c r="CA7" s="373">
        <v>32600</v>
      </c>
      <c r="CB7" s="373">
        <v>32500</v>
      </c>
      <c r="CC7" s="373">
        <v>40800</v>
      </c>
      <c r="CD7" s="373">
        <v>47900</v>
      </c>
      <c r="CE7" s="373">
        <v>48900</v>
      </c>
      <c r="CF7" s="373">
        <v>57200</v>
      </c>
      <c r="CG7" s="373">
        <v>62200</v>
      </c>
      <c r="CH7" s="373">
        <v>70100</v>
      </c>
      <c r="CI7" s="373">
        <v>75100</v>
      </c>
      <c r="CJ7" s="373">
        <v>71430</v>
      </c>
      <c r="CK7" s="373">
        <v>78990</v>
      </c>
      <c r="CL7" s="373">
        <v>72940</v>
      </c>
      <c r="CM7" s="373">
        <f t="shared" si="0"/>
        <v>49804.452380952382</v>
      </c>
      <c r="CN7" s="58"/>
      <c r="CO7" s="58"/>
      <c r="CP7" s="58"/>
      <c r="CQ7" s="58"/>
      <c r="CR7" s="58"/>
      <c r="CS7" s="58"/>
      <c r="CT7" s="58"/>
      <c r="CU7" s="58"/>
      <c r="CV7" s="58"/>
      <c r="CW7" s="58"/>
      <c r="CX7" s="58"/>
      <c r="CY7" s="58"/>
      <c r="CZ7" s="58"/>
      <c r="DA7" s="58"/>
      <c r="DB7" s="58"/>
      <c r="DC7" s="58"/>
      <c r="DD7" s="58"/>
      <c r="DE7" s="58"/>
      <c r="DF7" s="58"/>
      <c r="DG7" s="58"/>
      <c r="DH7" s="58"/>
      <c r="DI7" s="58"/>
      <c r="DJ7" s="58"/>
      <c r="DK7" s="58"/>
      <c r="DL7" s="58"/>
      <c r="DM7" s="58"/>
      <c r="DN7" s="58"/>
      <c r="DO7" s="58"/>
      <c r="DP7" s="58"/>
      <c r="DQ7" s="58"/>
      <c r="DR7" s="58"/>
      <c r="DS7" s="58"/>
      <c r="DT7" s="58"/>
      <c r="DU7" s="58"/>
      <c r="DV7" s="58"/>
      <c r="DW7" s="58"/>
      <c r="DX7" s="58"/>
      <c r="DY7" s="58"/>
      <c r="DZ7" s="58"/>
      <c r="EA7" s="58"/>
      <c r="EB7" s="58"/>
      <c r="EC7" s="58"/>
      <c r="ED7" s="58"/>
      <c r="EE7" s="58"/>
      <c r="EF7" s="58"/>
      <c r="EG7" s="58"/>
      <c r="EH7" s="58"/>
      <c r="EI7" s="58"/>
      <c r="EJ7" s="58"/>
      <c r="EK7" s="58"/>
      <c r="EL7" s="58"/>
      <c r="EM7" s="58"/>
      <c r="EN7" s="58"/>
      <c r="EO7" s="58"/>
      <c r="EP7" s="58"/>
      <c r="EQ7" s="58"/>
      <c r="ER7" s="58"/>
      <c r="ES7" s="58"/>
      <c r="ET7" s="58"/>
      <c r="EU7" s="58"/>
      <c r="EV7" s="58"/>
      <c r="EW7" s="58"/>
      <c r="EX7" s="58"/>
      <c r="EY7" s="58"/>
      <c r="EZ7" s="58"/>
      <c r="FA7" s="58"/>
      <c r="FB7" s="58"/>
      <c r="FC7" s="58"/>
      <c r="FD7" s="58"/>
      <c r="FE7" s="58"/>
      <c r="FF7" s="58"/>
      <c r="FG7" s="58"/>
      <c r="FH7" s="58"/>
      <c r="FI7" s="58"/>
      <c r="FJ7" s="58"/>
      <c r="FK7" s="58"/>
      <c r="FL7" s="58"/>
      <c r="FM7" s="58"/>
      <c r="FN7" s="58"/>
      <c r="FO7" s="58"/>
      <c r="FP7" s="58"/>
      <c r="FQ7" s="58"/>
      <c r="FR7" s="58"/>
      <c r="FS7" s="58"/>
      <c r="FT7" s="58"/>
      <c r="FU7" s="58"/>
      <c r="FV7" s="58"/>
    </row>
    <row r="8" spans="1:178">
      <c r="A8" s="1061"/>
      <c r="B8" s="2" t="s">
        <v>307</v>
      </c>
      <c r="C8" s="362" t="s">
        <v>143</v>
      </c>
      <c r="D8" s="362"/>
      <c r="E8" s="235" t="s">
        <v>351</v>
      </c>
      <c r="F8" s="380" t="s">
        <v>407</v>
      </c>
      <c r="G8" s="376">
        <v>78900</v>
      </c>
      <c r="H8" s="376">
        <v>75500</v>
      </c>
      <c r="I8" s="376">
        <v>76300</v>
      </c>
      <c r="J8" s="376">
        <v>77300</v>
      </c>
      <c r="K8" s="376">
        <v>74500</v>
      </c>
      <c r="L8" s="376">
        <v>78800</v>
      </c>
      <c r="M8" s="376">
        <v>75500</v>
      </c>
      <c r="N8" s="376">
        <v>77200</v>
      </c>
      <c r="O8" s="376">
        <v>71900</v>
      </c>
      <c r="P8" s="376">
        <v>74600</v>
      </c>
      <c r="Q8" s="376">
        <v>72500</v>
      </c>
      <c r="R8" s="376">
        <v>70300</v>
      </c>
      <c r="S8" s="376">
        <v>69049</v>
      </c>
      <c r="T8" s="376">
        <v>68803</v>
      </c>
      <c r="U8" s="376">
        <v>60570</v>
      </c>
      <c r="V8" s="376">
        <v>69050</v>
      </c>
      <c r="W8" s="376">
        <v>64550</v>
      </c>
      <c r="X8" s="376">
        <v>64300</v>
      </c>
      <c r="Y8" s="376">
        <v>69051</v>
      </c>
      <c r="Z8" s="376">
        <v>64800</v>
      </c>
      <c r="AA8" s="376">
        <v>67700</v>
      </c>
      <c r="AB8" s="376">
        <v>69052</v>
      </c>
      <c r="AC8" s="376">
        <v>69405</v>
      </c>
      <c r="AD8" s="376">
        <v>63700</v>
      </c>
      <c r="AE8" s="376">
        <v>69053</v>
      </c>
      <c r="AF8" s="376">
        <v>62939</v>
      </c>
      <c r="AG8" s="376">
        <v>65350</v>
      </c>
      <c r="AH8" s="376">
        <v>69054</v>
      </c>
      <c r="AI8" s="376">
        <v>63700</v>
      </c>
      <c r="AJ8" s="376">
        <v>61750</v>
      </c>
      <c r="AK8" s="376">
        <v>69055</v>
      </c>
      <c r="AL8" s="376">
        <v>68800</v>
      </c>
      <c r="AM8" s="376">
        <v>63500</v>
      </c>
      <c r="AN8" s="376">
        <v>69056</v>
      </c>
      <c r="AO8" s="376">
        <v>64500</v>
      </c>
      <c r="AP8" s="376">
        <v>64580</v>
      </c>
      <c r="AQ8" s="376">
        <v>69057</v>
      </c>
      <c r="AR8" s="376">
        <v>62925</v>
      </c>
      <c r="AS8" s="376">
        <v>71158</v>
      </c>
      <c r="AT8" s="376">
        <v>69058</v>
      </c>
      <c r="AU8" s="376">
        <v>79391</v>
      </c>
      <c r="AV8" s="376">
        <v>87624</v>
      </c>
      <c r="AW8" s="376">
        <v>91678</v>
      </c>
      <c r="AX8" s="376">
        <v>90255</v>
      </c>
      <c r="AY8" s="376">
        <v>110428</v>
      </c>
      <c r="AZ8" s="376">
        <v>113142</v>
      </c>
      <c r="BA8" s="376">
        <v>109389</v>
      </c>
      <c r="BB8" s="376">
        <v>117818</v>
      </c>
      <c r="BC8" s="376">
        <v>104990</v>
      </c>
      <c r="BD8" s="376">
        <v>79612</v>
      </c>
      <c r="BE8" s="376">
        <v>76089</v>
      </c>
      <c r="BF8" s="376">
        <v>79660</v>
      </c>
      <c r="BG8" s="376">
        <v>80367</v>
      </c>
      <c r="BH8" s="376">
        <v>75404</v>
      </c>
      <c r="BI8" s="376">
        <v>71634</v>
      </c>
      <c r="BJ8" s="376">
        <v>63615</v>
      </c>
      <c r="BK8" s="376">
        <v>66900</v>
      </c>
      <c r="BL8" s="376">
        <v>74300</v>
      </c>
      <c r="BM8" s="376">
        <v>76800</v>
      </c>
      <c r="BN8" s="376">
        <v>85000</v>
      </c>
      <c r="BO8" s="376">
        <v>87600</v>
      </c>
      <c r="BP8" s="376">
        <v>81700</v>
      </c>
      <c r="BQ8" s="376">
        <v>62200</v>
      </c>
      <c r="BR8" s="376">
        <v>63400</v>
      </c>
      <c r="BS8" s="376">
        <v>65100</v>
      </c>
      <c r="BT8" s="376">
        <v>56000</v>
      </c>
      <c r="BU8" s="376">
        <v>50100</v>
      </c>
      <c r="BV8" s="376">
        <v>28400</v>
      </c>
      <c r="BW8" s="376">
        <v>21600</v>
      </c>
      <c r="BX8" s="376">
        <v>22700</v>
      </c>
      <c r="BY8" s="376">
        <v>28600</v>
      </c>
      <c r="BZ8" s="376">
        <v>40200</v>
      </c>
      <c r="CA8" s="376">
        <v>50700</v>
      </c>
      <c r="CB8" s="376">
        <v>66900</v>
      </c>
      <c r="CC8" s="376">
        <v>94800</v>
      </c>
      <c r="CD8" s="376">
        <v>86100</v>
      </c>
      <c r="CE8" s="376">
        <v>58900</v>
      </c>
      <c r="CF8" s="376">
        <v>57400</v>
      </c>
      <c r="CG8" s="376">
        <v>80900</v>
      </c>
      <c r="CH8" s="376">
        <v>72100</v>
      </c>
      <c r="CI8" s="376">
        <v>73600</v>
      </c>
      <c r="CJ8" s="376">
        <v>88040</v>
      </c>
      <c r="CK8" s="376">
        <v>107190</v>
      </c>
      <c r="CL8" s="376">
        <v>116560</v>
      </c>
      <c r="CM8" s="376">
        <f t="shared" si="0"/>
        <v>72163.702380952382</v>
      </c>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c r="DP8" s="58"/>
      <c r="DQ8" s="58"/>
      <c r="DR8" s="58"/>
      <c r="DS8" s="58"/>
      <c r="DT8" s="58"/>
      <c r="DU8" s="58"/>
      <c r="DV8" s="58"/>
      <c r="DW8" s="58"/>
      <c r="DX8" s="58"/>
      <c r="DY8" s="58"/>
      <c r="DZ8" s="58"/>
      <c r="EA8" s="58"/>
      <c r="EB8" s="58"/>
      <c r="EC8" s="58"/>
      <c r="ED8" s="58"/>
      <c r="EE8" s="58"/>
      <c r="EF8" s="58"/>
      <c r="EG8" s="58"/>
      <c r="EH8" s="58"/>
      <c r="EI8" s="58"/>
      <c r="EJ8" s="58"/>
      <c r="EK8" s="58"/>
      <c r="EL8" s="58"/>
      <c r="EM8" s="58"/>
      <c r="EN8" s="58"/>
      <c r="EO8" s="58"/>
      <c r="EP8" s="58"/>
      <c r="EQ8" s="58"/>
      <c r="ER8" s="58"/>
      <c r="ES8" s="58"/>
      <c r="ET8" s="58"/>
      <c r="EU8" s="58"/>
      <c r="EV8" s="58"/>
      <c r="EW8" s="58"/>
      <c r="EX8" s="58"/>
      <c r="EY8" s="58"/>
      <c r="EZ8" s="58"/>
      <c r="FA8" s="58"/>
      <c r="FB8" s="58"/>
      <c r="FC8" s="58"/>
      <c r="FD8" s="58"/>
      <c r="FE8" s="58"/>
      <c r="FF8" s="58"/>
      <c r="FG8" s="58"/>
      <c r="FH8" s="58"/>
      <c r="FI8" s="58"/>
      <c r="FJ8" s="58"/>
      <c r="FK8" s="58"/>
      <c r="FL8" s="58"/>
      <c r="FM8" s="58"/>
      <c r="FN8" s="58"/>
      <c r="FO8" s="58"/>
      <c r="FP8" s="58"/>
      <c r="FQ8" s="58"/>
      <c r="FR8" s="58"/>
      <c r="FS8" s="58"/>
      <c r="FT8" s="58"/>
      <c r="FU8" s="58"/>
      <c r="FV8" s="58"/>
    </row>
    <row r="9" spans="1:178">
      <c r="A9" s="1061"/>
      <c r="B9" s="2" t="s">
        <v>307</v>
      </c>
      <c r="C9" s="362" t="s">
        <v>143</v>
      </c>
      <c r="D9" s="362"/>
      <c r="E9" s="235" t="s">
        <v>351</v>
      </c>
      <c r="F9" s="380" t="s">
        <v>137</v>
      </c>
      <c r="G9" s="376">
        <v>24398.880000000001</v>
      </c>
      <c r="H9" s="376">
        <v>25035.784242424201</v>
      </c>
      <c r="I9" s="376">
        <v>25672.688484848499</v>
      </c>
      <c r="J9" s="376">
        <v>26309.592727272699</v>
      </c>
      <c r="K9" s="376">
        <v>26946.496969697</v>
      </c>
      <c r="L9" s="376">
        <v>27583.4012121212</v>
      </c>
      <c r="M9" s="376">
        <v>28220.305454545502</v>
      </c>
      <c r="N9" s="376">
        <v>28857.209696969701</v>
      </c>
      <c r="O9" s="376">
        <v>29494.113939393901</v>
      </c>
      <c r="P9" s="376">
        <v>30131.018181818199</v>
      </c>
      <c r="Q9" s="376">
        <v>30767.922424242399</v>
      </c>
      <c r="R9" s="376">
        <v>31404.8266666667</v>
      </c>
      <c r="S9" s="376">
        <v>31722.6</v>
      </c>
      <c r="T9" s="376">
        <v>32547.5</v>
      </c>
      <c r="U9" s="376">
        <v>34500</v>
      </c>
      <c r="V9" s="376">
        <v>33372.400000000001</v>
      </c>
      <c r="W9" s="376">
        <v>34197.300000000003</v>
      </c>
      <c r="X9" s="376">
        <v>35022.199999999997</v>
      </c>
      <c r="Y9" s="376">
        <v>35847.1</v>
      </c>
      <c r="Z9" s="376">
        <v>37700</v>
      </c>
      <c r="AA9" s="376">
        <v>36672</v>
      </c>
      <c r="AB9" s="376">
        <v>37496.9</v>
      </c>
      <c r="AC9" s="376">
        <v>38321.800000000003</v>
      </c>
      <c r="AD9" s="376">
        <v>39146.699999999997</v>
      </c>
      <c r="AE9" s="376">
        <v>35300</v>
      </c>
      <c r="AF9" s="376">
        <v>39971.599999999999</v>
      </c>
      <c r="AG9" s="376">
        <v>40796.5</v>
      </c>
      <c r="AH9" s="376">
        <v>41621.4</v>
      </c>
      <c r="AI9" s="376">
        <v>42446.3</v>
      </c>
      <c r="AJ9" s="376">
        <v>38276</v>
      </c>
      <c r="AK9" s="376">
        <v>40271.199999999997</v>
      </c>
      <c r="AL9" s="376">
        <v>40096.1</v>
      </c>
      <c r="AM9" s="376">
        <v>41921</v>
      </c>
      <c r="AN9" s="376">
        <v>40745.9</v>
      </c>
      <c r="AO9" s="376">
        <v>40250</v>
      </c>
      <c r="AP9" s="376">
        <v>41570.800000000003</v>
      </c>
      <c r="AQ9" s="376">
        <v>39395.699999999997</v>
      </c>
      <c r="AR9" s="376">
        <v>38220.6</v>
      </c>
      <c r="AS9" s="376">
        <v>39045.5</v>
      </c>
      <c r="AT9" s="376">
        <v>40278</v>
      </c>
      <c r="AU9" s="376">
        <v>40825</v>
      </c>
      <c r="AV9" s="376">
        <v>39651</v>
      </c>
      <c r="AW9" s="376">
        <v>40745</v>
      </c>
      <c r="AX9" s="376">
        <v>43210</v>
      </c>
      <c r="AY9" s="376">
        <v>49220</v>
      </c>
      <c r="AZ9" s="376">
        <v>47166</v>
      </c>
      <c r="BA9" s="376">
        <v>48765</v>
      </c>
      <c r="BB9" s="376">
        <v>49461</v>
      </c>
      <c r="BC9" s="376">
        <v>53775</v>
      </c>
      <c r="BD9" s="376">
        <v>54370</v>
      </c>
      <c r="BE9" s="376">
        <v>41640</v>
      </c>
      <c r="BF9" s="376">
        <v>37117</v>
      </c>
      <c r="BG9" s="376">
        <v>37203</v>
      </c>
      <c r="BH9" s="376">
        <v>40633</v>
      </c>
      <c r="BI9" s="376">
        <v>41946</v>
      </c>
      <c r="BJ9" s="376">
        <v>44260</v>
      </c>
      <c r="BK9" s="376">
        <v>46500</v>
      </c>
      <c r="BL9" s="376">
        <v>40900</v>
      </c>
      <c r="BM9" s="376">
        <v>43100</v>
      </c>
      <c r="BN9" s="376">
        <v>41200</v>
      </c>
      <c r="BO9" s="376">
        <v>43200</v>
      </c>
      <c r="BP9" s="376">
        <v>43200</v>
      </c>
      <c r="BQ9" s="376">
        <v>45400</v>
      </c>
      <c r="BR9" s="376">
        <v>48300</v>
      </c>
      <c r="BS9" s="376">
        <v>47500</v>
      </c>
      <c r="BT9" s="376">
        <v>43200</v>
      </c>
      <c r="BU9" s="376">
        <v>30300</v>
      </c>
      <c r="BV9" s="376">
        <v>20000</v>
      </c>
      <c r="BW9" s="376">
        <v>25600</v>
      </c>
      <c r="BX9" s="376">
        <v>36800</v>
      </c>
      <c r="BY9" s="376">
        <v>39400</v>
      </c>
      <c r="BZ9" s="376">
        <v>39300</v>
      </c>
      <c r="CA9" s="376">
        <v>38800</v>
      </c>
      <c r="CB9" s="376">
        <v>38500</v>
      </c>
      <c r="CC9" s="376">
        <v>34300</v>
      </c>
      <c r="CD9" s="376">
        <v>37200</v>
      </c>
      <c r="CE9" s="376">
        <v>42600</v>
      </c>
      <c r="CF9" s="376">
        <v>46400</v>
      </c>
      <c r="CG9" s="376">
        <v>47800</v>
      </c>
      <c r="CH9" s="376">
        <v>47000</v>
      </c>
      <c r="CI9" s="376">
        <v>49100</v>
      </c>
      <c r="CJ9" s="376">
        <v>52210</v>
      </c>
      <c r="CK9" s="376">
        <v>56230</v>
      </c>
      <c r="CL9" s="376">
        <v>53120</v>
      </c>
      <c r="CM9" s="376">
        <f t="shared" si="0"/>
        <v>39151.45642857143</v>
      </c>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c r="EB9" s="58"/>
      <c r="EC9" s="58"/>
      <c r="ED9" s="58"/>
      <c r="EE9" s="58"/>
      <c r="EF9" s="58"/>
      <c r="EG9" s="58"/>
      <c r="EH9" s="58"/>
      <c r="EI9" s="58"/>
      <c r="EJ9" s="58"/>
      <c r="EK9" s="58"/>
      <c r="EL9" s="58"/>
      <c r="EM9" s="58"/>
      <c r="EN9" s="58"/>
      <c r="EO9" s="58"/>
      <c r="EP9" s="58"/>
      <c r="EQ9" s="58"/>
      <c r="ER9" s="58"/>
      <c r="ES9" s="58"/>
      <c r="ET9" s="58"/>
      <c r="EU9" s="58"/>
      <c r="EV9" s="58"/>
      <c r="EW9" s="58"/>
      <c r="EX9" s="58"/>
      <c r="EY9" s="58"/>
      <c r="EZ9" s="58"/>
      <c r="FA9" s="58"/>
      <c r="FB9" s="58"/>
      <c r="FC9" s="58"/>
      <c r="FD9" s="58"/>
      <c r="FE9" s="58"/>
      <c r="FF9" s="58"/>
      <c r="FG9" s="58"/>
      <c r="FH9" s="58"/>
      <c r="FI9" s="58"/>
      <c r="FJ9" s="58"/>
      <c r="FK9" s="58"/>
      <c r="FL9" s="58"/>
      <c r="FM9" s="58"/>
      <c r="FN9" s="58"/>
      <c r="FO9" s="58"/>
      <c r="FP9" s="58"/>
      <c r="FQ9" s="58"/>
      <c r="FR9" s="58"/>
      <c r="FS9" s="58"/>
      <c r="FT9" s="58"/>
      <c r="FU9" s="58"/>
      <c r="FV9" s="58"/>
    </row>
    <row r="10" spans="1:178">
      <c r="A10" s="1061"/>
      <c r="B10" s="2" t="s">
        <v>307</v>
      </c>
      <c r="C10" s="362" t="s">
        <v>143</v>
      </c>
      <c r="D10" s="362"/>
      <c r="E10" s="235" t="s">
        <v>351</v>
      </c>
      <c r="F10" s="380" t="s">
        <v>136</v>
      </c>
      <c r="G10" s="376">
        <v>37759.000000000102</v>
      </c>
      <c r="H10" s="376">
        <v>36931.1292929294</v>
      </c>
      <c r="I10" s="376">
        <v>36103.258585858697</v>
      </c>
      <c r="J10" s="376">
        <v>35275.3878787879</v>
      </c>
      <c r="K10" s="376">
        <v>34447.517171717198</v>
      </c>
      <c r="L10" s="376">
        <v>33619.646464646503</v>
      </c>
      <c r="M10" s="376">
        <v>32791.775757575801</v>
      </c>
      <c r="N10" s="376">
        <v>31963.905050505098</v>
      </c>
      <c r="O10" s="376">
        <v>31136.034343434399</v>
      </c>
      <c r="P10" s="376">
        <v>30308.163636363701</v>
      </c>
      <c r="Q10" s="376">
        <v>29480.292929292998</v>
      </c>
      <c r="R10" s="376">
        <v>28652.422222222202</v>
      </c>
      <c r="S10" s="376">
        <v>31782.666666666701</v>
      </c>
      <c r="T10" s="376">
        <v>31356.666666666701</v>
      </c>
      <c r="U10" s="376">
        <v>22930</v>
      </c>
      <c r="V10" s="376">
        <v>22278</v>
      </c>
      <c r="W10" s="376">
        <v>20505</v>
      </c>
      <c r="X10" s="376">
        <v>21079</v>
      </c>
      <c r="Y10" s="376">
        <v>22653</v>
      </c>
      <c r="Z10" s="376">
        <v>22279</v>
      </c>
      <c r="AA10" s="376">
        <v>22327</v>
      </c>
      <c r="AB10" s="376">
        <v>23801</v>
      </c>
      <c r="AC10" s="376">
        <v>22740</v>
      </c>
      <c r="AD10" s="376">
        <v>22280</v>
      </c>
      <c r="AE10" s="376">
        <v>21799</v>
      </c>
      <c r="AF10" s="376">
        <v>21523</v>
      </c>
      <c r="AG10" s="376">
        <v>23055</v>
      </c>
      <c r="AH10" s="376">
        <v>22281</v>
      </c>
      <c r="AI10" s="376">
        <v>21450</v>
      </c>
      <c r="AJ10" s="376">
        <v>22640</v>
      </c>
      <c r="AK10" s="376">
        <v>25818.666666666701</v>
      </c>
      <c r="AL10" s="376">
        <v>22282</v>
      </c>
      <c r="AM10" s="376">
        <v>25392.666666666701</v>
      </c>
      <c r="AN10" s="376">
        <v>24966.666666666701</v>
      </c>
      <c r="AO10" s="376">
        <v>24540.666666666701</v>
      </c>
      <c r="AP10" s="376">
        <v>22283</v>
      </c>
      <c r="AQ10" s="376">
        <v>24114.666666666701</v>
      </c>
      <c r="AR10" s="376">
        <v>23688.666666666701</v>
      </c>
      <c r="AS10" s="376">
        <v>23262.666666666701</v>
      </c>
      <c r="AT10" s="376">
        <v>22284</v>
      </c>
      <c r="AU10" s="376">
        <v>23133</v>
      </c>
      <c r="AV10" s="376">
        <v>21818</v>
      </c>
      <c r="AW10" s="376">
        <v>22281</v>
      </c>
      <c r="AX10" s="376">
        <v>24177</v>
      </c>
      <c r="AY10" s="376">
        <v>28071</v>
      </c>
      <c r="AZ10" s="376">
        <v>28045</v>
      </c>
      <c r="BA10" s="376">
        <v>29524</v>
      </c>
      <c r="BB10" s="376">
        <v>28439</v>
      </c>
      <c r="BC10" s="376">
        <v>30668</v>
      </c>
      <c r="BD10" s="376">
        <v>33226</v>
      </c>
      <c r="BE10" s="376">
        <v>28437</v>
      </c>
      <c r="BF10" s="376">
        <v>23915</v>
      </c>
      <c r="BG10" s="376">
        <v>25268</v>
      </c>
      <c r="BH10" s="376">
        <v>28957</v>
      </c>
      <c r="BI10" s="376">
        <v>29150</v>
      </c>
      <c r="BJ10" s="376">
        <v>30044</v>
      </c>
      <c r="BK10" s="376">
        <v>28400</v>
      </c>
      <c r="BL10" s="376">
        <v>25400</v>
      </c>
      <c r="BM10" s="376">
        <v>26700</v>
      </c>
      <c r="BN10" s="376">
        <v>22400</v>
      </c>
      <c r="BO10" s="376">
        <v>24500</v>
      </c>
      <c r="BP10" s="376">
        <v>21200</v>
      </c>
      <c r="BQ10" s="376">
        <v>18600</v>
      </c>
      <c r="BR10" s="376">
        <v>21400</v>
      </c>
      <c r="BS10" s="376">
        <v>22400</v>
      </c>
      <c r="BT10" s="376">
        <v>23100</v>
      </c>
      <c r="BU10" s="376">
        <v>14400</v>
      </c>
      <c r="BV10" s="376">
        <v>10800</v>
      </c>
      <c r="BW10" s="376">
        <v>14100</v>
      </c>
      <c r="BX10" s="376">
        <v>18300</v>
      </c>
      <c r="BY10" s="376">
        <v>20100</v>
      </c>
      <c r="BZ10" s="376">
        <v>21300</v>
      </c>
      <c r="CA10" s="376">
        <v>20000</v>
      </c>
      <c r="CB10" s="376">
        <v>20600</v>
      </c>
      <c r="CC10" s="376">
        <v>21500</v>
      </c>
      <c r="CD10" s="376">
        <v>23400</v>
      </c>
      <c r="CE10" s="376">
        <v>24700</v>
      </c>
      <c r="CF10" s="376">
        <v>27200</v>
      </c>
      <c r="CG10" s="376">
        <v>28300</v>
      </c>
      <c r="CH10" s="376">
        <v>29000</v>
      </c>
      <c r="CI10" s="376">
        <v>29700</v>
      </c>
      <c r="CJ10" s="376">
        <v>31350</v>
      </c>
      <c r="CK10" s="376">
        <v>30470</v>
      </c>
      <c r="CL10" s="376">
        <v>31250</v>
      </c>
      <c r="CM10" s="376">
        <f t="shared" si="0"/>
        <v>25495.053968253982</v>
      </c>
      <c r="CN10" s="58"/>
      <c r="CO10" s="58"/>
      <c r="CP10" s="58"/>
      <c r="CQ10" s="58"/>
      <c r="CR10" s="58"/>
      <c r="CS10" s="58"/>
      <c r="CT10" s="58"/>
      <c r="CU10" s="58"/>
      <c r="CV10" s="58"/>
      <c r="CW10" s="58"/>
      <c r="CX10" s="58"/>
      <c r="CY10" s="58"/>
      <c r="CZ10" s="58"/>
      <c r="DA10" s="58"/>
      <c r="DB10" s="58"/>
      <c r="DC10" s="58"/>
      <c r="DD10" s="58"/>
      <c r="DE10" s="58"/>
      <c r="DF10" s="58"/>
      <c r="DG10" s="58"/>
      <c r="DH10" s="58"/>
      <c r="DI10" s="58"/>
      <c r="DJ10" s="58"/>
      <c r="DK10" s="58"/>
      <c r="DL10" s="58"/>
      <c r="DM10" s="58"/>
      <c r="DN10" s="58"/>
      <c r="DO10" s="58"/>
      <c r="DP10" s="58"/>
      <c r="DQ10" s="58"/>
      <c r="DR10" s="58"/>
      <c r="DS10" s="58"/>
      <c r="DT10" s="58"/>
      <c r="DU10" s="58"/>
      <c r="DV10" s="58"/>
      <c r="DW10" s="58"/>
      <c r="DX10" s="58"/>
      <c r="DY10" s="58"/>
      <c r="DZ10" s="58"/>
      <c r="EA10" s="58"/>
      <c r="EB10" s="58"/>
      <c r="EC10" s="58"/>
      <c r="ED10" s="58"/>
      <c r="EE10" s="58"/>
      <c r="EF10" s="58"/>
      <c r="EG10" s="58"/>
      <c r="EH10" s="58"/>
      <c r="EI10" s="58"/>
      <c r="EJ10" s="58"/>
      <c r="EK10" s="58"/>
      <c r="EL10" s="58"/>
      <c r="EM10" s="58"/>
      <c r="EN10" s="58"/>
      <c r="EO10" s="58"/>
      <c r="EP10" s="58"/>
      <c r="EQ10" s="58"/>
      <c r="ER10" s="58"/>
      <c r="ES10" s="58"/>
      <c r="ET10" s="58"/>
      <c r="EU10" s="58"/>
      <c r="EV10" s="58"/>
      <c r="EW10" s="58"/>
      <c r="EX10" s="58"/>
      <c r="EY10" s="58"/>
      <c r="EZ10" s="58"/>
      <c r="FA10" s="58"/>
      <c r="FB10" s="58"/>
      <c r="FC10" s="58"/>
      <c r="FD10" s="58"/>
      <c r="FE10" s="58"/>
      <c r="FF10" s="58"/>
      <c r="FG10" s="58"/>
      <c r="FH10" s="58"/>
      <c r="FI10" s="58"/>
      <c r="FJ10" s="58"/>
      <c r="FK10" s="58"/>
      <c r="FL10" s="58"/>
      <c r="FM10" s="58"/>
      <c r="FN10" s="58"/>
      <c r="FO10" s="58"/>
      <c r="FP10" s="58"/>
      <c r="FQ10" s="58"/>
      <c r="FR10" s="58"/>
      <c r="FS10" s="58"/>
      <c r="FT10" s="58"/>
      <c r="FU10" s="58"/>
      <c r="FV10" s="58"/>
    </row>
    <row r="11" spans="1:178">
      <c r="A11" s="1062"/>
      <c r="B11" s="224" t="s">
        <v>307</v>
      </c>
      <c r="C11" s="367" t="s">
        <v>143</v>
      </c>
      <c r="D11" s="367"/>
      <c r="E11" s="336" t="s">
        <v>351</v>
      </c>
      <c r="F11" s="386" t="s">
        <v>135</v>
      </c>
      <c r="G11" s="387">
        <v>32175.4666666667</v>
      </c>
      <c r="H11" s="387">
        <v>32270.216161616201</v>
      </c>
      <c r="I11" s="387">
        <v>32364.965656565699</v>
      </c>
      <c r="J11" s="387">
        <v>32459.7151515152</v>
      </c>
      <c r="K11" s="387">
        <v>32554.464646464701</v>
      </c>
      <c r="L11" s="387">
        <v>32649.214141414199</v>
      </c>
      <c r="M11" s="387">
        <v>32743.9636363637</v>
      </c>
      <c r="N11" s="387">
        <v>32838.713131313198</v>
      </c>
      <c r="O11" s="387">
        <v>32933.462626262699</v>
      </c>
      <c r="P11" s="387">
        <v>33028.212121212098</v>
      </c>
      <c r="Q11" s="387">
        <v>33122.9616161616</v>
      </c>
      <c r="R11" s="387">
        <v>33217.711111111101</v>
      </c>
      <c r="S11" s="387">
        <v>33015.666666666701</v>
      </c>
      <c r="T11" s="387">
        <v>33126.166666666701</v>
      </c>
      <c r="U11" s="387">
        <v>33236.666666666701</v>
      </c>
      <c r="V11" s="387">
        <v>35084</v>
      </c>
      <c r="W11" s="387">
        <v>33347.166666666701</v>
      </c>
      <c r="X11" s="387">
        <v>33457.666666666701</v>
      </c>
      <c r="Y11" s="387">
        <v>33568.166666666701</v>
      </c>
      <c r="Z11" s="387">
        <v>35085</v>
      </c>
      <c r="AA11" s="387">
        <v>33678.666666666701</v>
      </c>
      <c r="AB11" s="387">
        <v>33789.166666666701</v>
      </c>
      <c r="AC11" s="387">
        <v>33899.666666666701</v>
      </c>
      <c r="AD11" s="387">
        <v>35086</v>
      </c>
      <c r="AE11" s="387">
        <v>34010.166666666701</v>
      </c>
      <c r="AF11" s="387">
        <v>34120.666666666701</v>
      </c>
      <c r="AG11" s="387">
        <v>34231.166666666701</v>
      </c>
      <c r="AH11" s="387">
        <v>35087</v>
      </c>
      <c r="AI11" s="387">
        <v>34341.666666666701</v>
      </c>
      <c r="AJ11" s="387">
        <v>34452.166666666701</v>
      </c>
      <c r="AK11" s="387">
        <v>34562.666666666701</v>
      </c>
      <c r="AL11" s="387">
        <v>35088</v>
      </c>
      <c r="AM11" s="387">
        <v>34673.166666666701</v>
      </c>
      <c r="AN11" s="387">
        <v>34783.666666666701</v>
      </c>
      <c r="AO11" s="387">
        <v>34894.166666666701</v>
      </c>
      <c r="AP11" s="387">
        <v>35089</v>
      </c>
      <c r="AQ11" s="387">
        <v>35004.666666666701</v>
      </c>
      <c r="AR11" s="387">
        <v>35115.166666666701</v>
      </c>
      <c r="AS11" s="387">
        <v>35225.666666666701</v>
      </c>
      <c r="AT11" s="387">
        <v>35090</v>
      </c>
      <c r="AU11" s="387">
        <v>35648</v>
      </c>
      <c r="AV11" s="387">
        <v>34823</v>
      </c>
      <c r="AW11" s="387">
        <v>35869</v>
      </c>
      <c r="AX11" s="387">
        <v>38900</v>
      </c>
      <c r="AY11" s="387">
        <v>48637</v>
      </c>
      <c r="AZ11" s="387">
        <v>46484</v>
      </c>
      <c r="BA11" s="387">
        <v>48182</v>
      </c>
      <c r="BB11" s="387">
        <v>48880</v>
      </c>
      <c r="BC11" s="387">
        <v>53437</v>
      </c>
      <c r="BD11" s="387">
        <v>53976</v>
      </c>
      <c r="BE11" s="387">
        <v>40000</v>
      </c>
      <c r="BF11" s="387">
        <v>35076</v>
      </c>
      <c r="BG11" s="387">
        <v>35172</v>
      </c>
      <c r="BH11" s="387">
        <v>38937</v>
      </c>
      <c r="BI11" s="387">
        <v>40545</v>
      </c>
      <c r="BJ11" s="387">
        <v>43117</v>
      </c>
      <c r="BK11" s="387">
        <v>41200</v>
      </c>
      <c r="BL11" s="387">
        <v>35000</v>
      </c>
      <c r="BM11" s="387">
        <v>37500</v>
      </c>
      <c r="BN11" s="387">
        <v>35100</v>
      </c>
      <c r="BO11" s="387">
        <v>37300</v>
      </c>
      <c r="BP11" s="387">
        <v>37300</v>
      </c>
      <c r="BQ11" s="387">
        <v>39700</v>
      </c>
      <c r="BR11" s="387">
        <v>41700</v>
      </c>
      <c r="BS11" s="387">
        <v>40900</v>
      </c>
      <c r="BT11" s="387">
        <v>38000</v>
      </c>
      <c r="BU11" s="387">
        <v>25000</v>
      </c>
      <c r="BV11" s="387">
        <v>19100</v>
      </c>
      <c r="BW11" s="387">
        <v>25000</v>
      </c>
      <c r="BX11" s="387">
        <v>31800</v>
      </c>
      <c r="BY11" s="387">
        <v>33800</v>
      </c>
      <c r="BZ11" s="387">
        <v>35100</v>
      </c>
      <c r="CA11" s="387">
        <v>36000</v>
      </c>
      <c r="CB11" s="387">
        <v>35700</v>
      </c>
      <c r="CC11" s="387">
        <v>35700</v>
      </c>
      <c r="CD11" s="387">
        <v>39300</v>
      </c>
      <c r="CE11" s="387">
        <v>42500</v>
      </c>
      <c r="CF11" s="387">
        <v>46600</v>
      </c>
      <c r="CG11" s="387">
        <v>48300</v>
      </c>
      <c r="CH11" s="387">
        <v>44700</v>
      </c>
      <c r="CI11" s="387">
        <v>47100</v>
      </c>
      <c r="CJ11" s="387">
        <v>50610</v>
      </c>
      <c r="CK11" s="387">
        <v>50620</v>
      </c>
      <c r="CL11" s="387">
        <v>44350</v>
      </c>
      <c r="CM11" s="387">
        <f t="shared" si="0"/>
        <v>36990.060317460338</v>
      </c>
      <c r="CN11" s="58"/>
      <c r="CO11" s="58"/>
      <c r="CP11" s="58"/>
      <c r="CQ11" s="58"/>
      <c r="CR11" s="58"/>
      <c r="CS11" s="58"/>
      <c r="CT11" s="58"/>
      <c r="CU11" s="58"/>
      <c r="CV11" s="58"/>
      <c r="CW11" s="58"/>
      <c r="CX11" s="58"/>
      <c r="CY11" s="58"/>
      <c r="CZ11" s="58"/>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c r="EB11" s="58"/>
      <c r="EC11" s="58"/>
      <c r="ED11" s="58"/>
      <c r="EE11" s="58"/>
      <c r="EF11" s="58"/>
      <c r="EG11" s="58"/>
      <c r="EH11" s="58"/>
      <c r="EI11" s="58"/>
      <c r="EJ11" s="58"/>
      <c r="EK11" s="58"/>
      <c r="EL11" s="58"/>
      <c r="EM11" s="58"/>
      <c r="EN11" s="58"/>
      <c r="EO11" s="58"/>
      <c r="EP11" s="58"/>
      <c r="EQ11" s="58"/>
      <c r="ER11" s="58"/>
      <c r="ES11" s="58"/>
      <c r="ET11" s="58"/>
      <c r="EU11" s="58"/>
      <c r="EV11" s="58"/>
      <c r="EW11" s="58"/>
      <c r="EX11" s="58"/>
      <c r="EY11" s="58"/>
      <c r="EZ11" s="58"/>
      <c r="FA11" s="58"/>
      <c r="FB11" s="58"/>
      <c r="FC11" s="58"/>
      <c r="FD11" s="58"/>
      <c r="FE11" s="58"/>
      <c r="FF11" s="58"/>
      <c r="FG11" s="58"/>
      <c r="FH11" s="58"/>
      <c r="FI11" s="58"/>
      <c r="FJ11" s="58"/>
      <c r="FK11" s="58"/>
      <c r="FL11" s="58"/>
      <c r="FM11" s="58"/>
      <c r="FN11" s="58"/>
      <c r="FO11" s="58"/>
      <c r="FP11" s="58"/>
      <c r="FQ11" s="58"/>
      <c r="FR11" s="58"/>
      <c r="FS11" s="58"/>
      <c r="FT11" s="58"/>
      <c r="FU11" s="58"/>
      <c r="FV11" s="58"/>
    </row>
    <row r="12" spans="1:178" ht="12.75" customHeight="1">
      <c r="A12" s="1063" t="s">
        <v>311</v>
      </c>
      <c r="B12" s="159" t="s">
        <v>312</v>
      </c>
      <c r="C12" s="393" t="s">
        <v>313</v>
      </c>
      <c r="D12" s="393"/>
      <c r="E12" s="1065" t="s">
        <v>314</v>
      </c>
      <c r="F12" s="394" t="s">
        <v>149</v>
      </c>
      <c r="G12" s="395">
        <f>Feed!$N$4*1000/12</f>
        <v>90000</v>
      </c>
      <c r="H12" s="395">
        <f>Feed!$N$4*1000/12</f>
        <v>90000</v>
      </c>
      <c r="I12" s="395">
        <f>Feed!$N$4*1000/12</f>
        <v>90000</v>
      </c>
      <c r="J12" s="395">
        <f>Feed!$N$4*1000/12</f>
        <v>90000</v>
      </c>
      <c r="K12" s="395">
        <f>Feed!$N$4*1000/12</f>
        <v>90000</v>
      </c>
      <c r="L12" s="395">
        <f>Feed!$N$4*1000/12</f>
        <v>90000</v>
      </c>
      <c r="M12" s="395">
        <f>Feed!$N$4*1000/12</f>
        <v>90000</v>
      </c>
      <c r="N12" s="395">
        <f>Feed!$N$4*1000/12</f>
        <v>90000</v>
      </c>
      <c r="O12" s="395">
        <f>Feed!$N$4*1000/12</f>
        <v>90000</v>
      </c>
      <c r="P12" s="395">
        <f>Feed!$N$4*1000/12</f>
        <v>90000</v>
      </c>
      <c r="Q12" s="395">
        <f>Feed!$N$4*1000/12</f>
        <v>90000</v>
      </c>
      <c r="R12" s="395">
        <f>Feed!$N$4*1000/12</f>
        <v>90000</v>
      </c>
      <c r="S12" s="395">
        <f>Feed!$N$4*1000/12</f>
        <v>90000</v>
      </c>
      <c r="T12" s="395">
        <f>Feed!$N$4*1000/12</f>
        <v>90000</v>
      </c>
      <c r="U12" s="395">
        <f>Feed!$N$4*1000/12</f>
        <v>90000</v>
      </c>
      <c r="V12" s="395">
        <f>Feed!$N$4*1000/12</f>
        <v>90000</v>
      </c>
      <c r="W12" s="395">
        <f>Feed!$N$4*1000/12</f>
        <v>90000</v>
      </c>
      <c r="X12" s="395">
        <f>Feed!$N$4*1000/12</f>
        <v>90000</v>
      </c>
      <c r="Y12" s="395">
        <f>Feed!$N$4*1000/12</f>
        <v>90000</v>
      </c>
      <c r="Z12" s="395">
        <f>Feed!$N$4*1000/12</f>
        <v>90000</v>
      </c>
      <c r="AA12" s="395">
        <f>Feed!$N$4*1000/12</f>
        <v>90000</v>
      </c>
      <c r="AB12" s="395">
        <f>Feed!$N$4*1000/12</f>
        <v>90000</v>
      </c>
      <c r="AC12" s="395">
        <f>Feed!$N$4*1000/12</f>
        <v>90000</v>
      </c>
      <c r="AD12" s="395">
        <f>Feed!$N$4*1000/12</f>
        <v>90000</v>
      </c>
      <c r="AE12" s="395">
        <f>Feed!$N$4*1000/12</f>
        <v>90000</v>
      </c>
      <c r="AF12" s="395">
        <f>Feed!$N$4*1000/12</f>
        <v>90000</v>
      </c>
      <c r="AG12" s="395">
        <f>Feed!$N$4*1000/12</f>
        <v>90000</v>
      </c>
      <c r="AH12" s="395">
        <f>Feed!$N$4*1000/12</f>
        <v>90000</v>
      </c>
      <c r="AI12" s="395">
        <f>Feed!$N$4*1000/12</f>
        <v>90000</v>
      </c>
      <c r="AJ12" s="395">
        <f>Feed!$N$4*1000/12</f>
        <v>90000</v>
      </c>
      <c r="AK12" s="395">
        <f>Feed!$N$4*1000/12</f>
        <v>90000</v>
      </c>
      <c r="AL12" s="395">
        <f>Feed!$N$4*1000/12</f>
        <v>90000</v>
      </c>
      <c r="AM12" s="395">
        <f>Feed!$N$4*1000/12</f>
        <v>90000</v>
      </c>
      <c r="AN12" s="395">
        <f>Feed!$N$4*1000/12</f>
        <v>90000</v>
      </c>
      <c r="AO12" s="395">
        <f>Feed!$N$4*1000/12</f>
        <v>90000</v>
      </c>
      <c r="AP12" s="395">
        <f>Feed!$N$4*1000/12</f>
        <v>90000</v>
      </c>
      <c r="AQ12" s="395">
        <f>Feed!$N$4*1000/12</f>
        <v>90000</v>
      </c>
      <c r="AR12" s="395">
        <f>Feed!$N$4*1000/12</f>
        <v>90000</v>
      </c>
      <c r="AS12" s="395">
        <f>Feed!$N$4*1000/12</f>
        <v>90000</v>
      </c>
      <c r="AT12" s="395">
        <f>Feed!$N$4*1000/12</f>
        <v>90000</v>
      </c>
      <c r="AU12" s="395">
        <f>Feed!$N$4*1000/12</f>
        <v>90000</v>
      </c>
      <c r="AV12" s="395">
        <f>Feed!$N$4*1000/12</f>
        <v>90000</v>
      </c>
      <c r="AW12" s="395">
        <f>Feed!$N$4*1000/12</f>
        <v>90000</v>
      </c>
      <c r="AX12" s="395">
        <f>Feed!$N$4*1000/12</f>
        <v>90000</v>
      </c>
      <c r="AY12" s="395">
        <f>Feed!$N$4*1000/12</f>
        <v>90000</v>
      </c>
      <c r="AZ12" s="395">
        <f>Feed!$N$4*1000/12</f>
        <v>90000</v>
      </c>
      <c r="BA12" s="395">
        <f>Feed!$N$4*1000/12</f>
        <v>90000</v>
      </c>
      <c r="BB12" s="395">
        <f>Feed!$N$4*1000/12</f>
        <v>90000</v>
      </c>
      <c r="BC12" s="395">
        <f>Feed!$N$4*1000/12</f>
        <v>90000</v>
      </c>
      <c r="BD12" s="395">
        <f>Feed!$N$4*1000/12</f>
        <v>90000</v>
      </c>
      <c r="BE12" s="395">
        <f>Feed!$N$4*1000/12</f>
        <v>90000</v>
      </c>
      <c r="BF12" s="395">
        <f>Feed!$N$4*1000/12</f>
        <v>90000</v>
      </c>
      <c r="BG12" s="395">
        <f>Feed!$N$4*1000/12</f>
        <v>90000</v>
      </c>
      <c r="BH12" s="395">
        <f>Feed!$N$4*1000/12</f>
        <v>90000</v>
      </c>
      <c r="BI12" s="395">
        <f>Feed!$N$4*1000/12</f>
        <v>90000</v>
      </c>
      <c r="BJ12" s="395">
        <f>Feed!$N$4*1000/12</f>
        <v>90000</v>
      </c>
      <c r="BK12" s="395">
        <f>Feed!$N$4*1000/12</f>
        <v>90000</v>
      </c>
      <c r="BL12" s="395">
        <f>Feed!$N$4*1000/12</f>
        <v>90000</v>
      </c>
      <c r="BM12" s="395">
        <f>Feed!$N$4*1000/12</f>
        <v>90000</v>
      </c>
      <c r="BN12" s="395">
        <f>Feed!$N$4*1000/12</f>
        <v>90000</v>
      </c>
      <c r="BO12" s="395">
        <f>Feed!$N$4*1000/12</f>
        <v>90000</v>
      </c>
      <c r="BP12" s="395">
        <f>Feed!$N$4*1000/12</f>
        <v>90000</v>
      </c>
      <c r="BQ12" s="395">
        <f>Feed!$N$4*1000/12</f>
        <v>90000</v>
      </c>
      <c r="BR12" s="395">
        <f>Feed!$N$4*1000/12</f>
        <v>90000</v>
      </c>
      <c r="BS12" s="395">
        <f>Feed!$N$4*1000/12</f>
        <v>90000</v>
      </c>
      <c r="BT12" s="395">
        <f>Feed!$N$4*1000/12</f>
        <v>90000</v>
      </c>
      <c r="BU12" s="395">
        <f>Feed!$N$4*1000/12</f>
        <v>90000</v>
      </c>
      <c r="BV12" s="395">
        <f>Feed!$N$4*1000/12</f>
        <v>90000</v>
      </c>
      <c r="BW12" s="395">
        <f>Feed!$N$4*1000/12</f>
        <v>90000</v>
      </c>
      <c r="BX12" s="395">
        <f>Feed!$N$4*1000/12</f>
        <v>90000</v>
      </c>
      <c r="BY12" s="395">
        <f>Feed!$N$4*1000/12</f>
        <v>90000</v>
      </c>
      <c r="BZ12" s="395">
        <f>Feed!$N$4*1000/12</f>
        <v>90000</v>
      </c>
      <c r="CA12" s="395">
        <f>Feed!$N$4*1000/12</f>
        <v>90000</v>
      </c>
      <c r="CB12" s="395">
        <f>Feed!$N$4*1000/12</f>
        <v>90000</v>
      </c>
      <c r="CC12" s="395">
        <f>Feed!$N$4*1000/12</f>
        <v>90000</v>
      </c>
      <c r="CD12" s="395">
        <f>Feed!$N$4*1000/12</f>
        <v>90000</v>
      </c>
      <c r="CE12" s="395">
        <f>Feed!$N$4*1000/12</f>
        <v>90000</v>
      </c>
      <c r="CF12" s="395">
        <f>Feed!$N$4*1000/12</f>
        <v>90000</v>
      </c>
      <c r="CG12" s="395">
        <f>Feed!$N$4*1000/12</f>
        <v>90000</v>
      </c>
      <c r="CH12" s="395">
        <f>Feed!$N$4*1000/12</f>
        <v>90000</v>
      </c>
      <c r="CI12" s="395">
        <f>Feed!$N$4*1000/12</f>
        <v>90000</v>
      </c>
      <c r="CJ12" s="395">
        <f>Feed!$N$4*1000/12</f>
        <v>90000</v>
      </c>
      <c r="CK12" s="395">
        <f>Feed!$N$4*1000/12</f>
        <v>90000</v>
      </c>
      <c r="CL12" s="395">
        <f>Feed!$N$4*1000/12</f>
        <v>90000</v>
      </c>
      <c r="CM12" s="397">
        <f t="shared" si="0"/>
        <v>90000</v>
      </c>
      <c r="CN12" s="58"/>
      <c r="CO12" s="58"/>
      <c r="CP12" s="58"/>
      <c r="CQ12" s="58"/>
      <c r="CR12" s="58"/>
      <c r="CS12" s="58"/>
      <c r="CT12" s="58"/>
      <c r="CU12" s="58"/>
      <c r="CV12" s="58"/>
      <c r="CW12" s="58"/>
      <c r="CX12" s="58"/>
      <c r="CY12" s="58"/>
      <c r="CZ12" s="58"/>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58"/>
      <c r="EC12" s="58"/>
      <c r="ED12" s="58"/>
      <c r="EE12" s="58"/>
      <c r="EF12" s="58"/>
      <c r="EG12" s="58"/>
      <c r="EH12" s="58"/>
      <c r="EI12" s="58"/>
      <c r="EJ12" s="58"/>
      <c r="EK12" s="58"/>
      <c r="EL12" s="58"/>
      <c r="EM12" s="58"/>
      <c r="EN12" s="58"/>
      <c r="EO12" s="58"/>
      <c r="EP12" s="58"/>
      <c r="EQ12" s="58"/>
      <c r="ER12" s="58"/>
      <c r="ES12" s="58"/>
      <c r="ET12" s="58"/>
      <c r="EU12" s="58"/>
      <c r="EV12" s="58"/>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row>
    <row r="13" spans="1:178">
      <c r="A13" s="1064"/>
      <c r="B13" s="398" t="s">
        <v>312</v>
      </c>
      <c r="C13" s="399" t="s">
        <v>313</v>
      </c>
      <c r="D13" s="399"/>
      <c r="E13" s="1066"/>
      <c r="F13" s="400" t="s">
        <v>0</v>
      </c>
      <c r="G13" s="395">
        <f>Feed!$N$6*1000/12</f>
        <v>20416.666666666668</v>
      </c>
      <c r="H13" s="395">
        <f>Feed!$N$6*1000/12</f>
        <v>20416.666666666668</v>
      </c>
      <c r="I13" s="395">
        <f>Feed!$N$6*1000/12</f>
        <v>20416.666666666668</v>
      </c>
      <c r="J13" s="395">
        <f>Feed!$N$6*1000/12</f>
        <v>20416.666666666668</v>
      </c>
      <c r="K13" s="395">
        <f>Feed!$N$6*1000/12</f>
        <v>20416.666666666668</v>
      </c>
      <c r="L13" s="395">
        <f>Feed!$N$6*1000/12</f>
        <v>20416.666666666668</v>
      </c>
      <c r="M13" s="395">
        <f>Feed!$N$6*1000/12</f>
        <v>20416.666666666668</v>
      </c>
      <c r="N13" s="395">
        <f>Feed!$N$6*1000/12</f>
        <v>20416.666666666668</v>
      </c>
      <c r="O13" s="395">
        <f>Feed!$N$6*1000/12</f>
        <v>20416.666666666668</v>
      </c>
      <c r="P13" s="395">
        <f>Feed!$N$6*1000/12</f>
        <v>20416.666666666668</v>
      </c>
      <c r="Q13" s="395">
        <f>Feed!$N$6*1000/12</f>
        <v>20416.666666666668</v>
      </c>
      <c r="R13" s="395">
        <f>Feed!$N$6*1000/12</f>
        <v>20416.666666666668</v>
      </c>
      <c r="S13" s="395">
        <f>Feed!$N$6*1000/12</f>
        <v>20416.666666666668</v>
      </c>
      <c r="T13" s="395">
        <f>Feed!$N$6*1000/12</f>
        <v>20416.666666666668</v>
      </c>
      <c r="U13" s="395">
        <f>Feed!$N$6*1000/12</f>
        <v>20416.666666666668</v>
      </c>
      <c r="V13" s="395">
        <f>Feed!$N$6*1000/12</f>
        <v>20416.666666666668</v>
      </c>
      <c r="W13" s="395">
        <f>Feed!$N$6*1000/12</f>
        <v>20416.666666666668</v>
      </c>
      <c r="X13" s="395">
        <f>Feed!$N$6*1000/12</f>
        <v>20416.666666666668</v>
      </c>
      <c r="Y13" s="395">
        <f>Feed!$N$6*1000/12</f>
        <v>20416.666666666668</v>
      </c>
      <c r="Z13" s="395">
        <f>Feed!$N$6*1000/12</f>
        <v>20416.666666666668</v>
      </c>
      <c r="AA13" s="395">
        <f>Feed!$N$6*1000/12</f>
        <v>20416.666666666668</v>
      </c>
      <c r="AB13" s="395">
        <f>Feed!$N$6*1000/12</f>
        <v>20416.666666666668</v>
      </c>
      <c r="AC13" s="395">
        <f>Feed!$N$6*1000/12</f>
        <v>20416.666666666668</v>
      </c>
      <c r="AD13" s="395">
        <f>Feed!$N$6*1000/12</f>
        <v>20416.666666666668</v>
      </c>
      <c r="AE13" s="395">
        <f>Feed!$N$6*1000/12</f>
        <v>20416.666666666668</v>
      </c>
      <c r="AF13" s="395">
        <f>Feed!$N$6*1000/12</f>
        <v>20416.666666666668</v>
      </c>
      <c r="AG13" s="395">
        <f>Feed!$N$6*1000/12</f>
        <v>20416.666666666668</v>
      </c>
      <c r="AH13" s="395">
        <f>Feed!$N$6*1000/12</f>
        <v>20416.666666666668</v>
      </c>
      <c r="AI13" s="395">
        <f>Feed!$N$6*1000/12</f>
        <v>20416.666666666668</v>
      </c>
      <c r="AJ13" s="395">
        <f>Feed!$N$6*1000/12</f>
        <v>20416.666666666668</v>
      </c>
      <c r="AK13" s="395">
        <f>Feed!$N$6*1000/12</f>
        <v>20416.666666666668</v>
      </c>
      <c r="AL13" s="395">
        <f>Feed!$N$6*1000/12</f>
        <v>20416.666666666668</v>
      </c>
      <c r="AM13" s="395">
        <f>Feed!$N$6*1000/12</f>
        <v>20416.666666666668</v>
      </c>
      <c r="AN13" s="395">
        <f>Feed!$N$6*1000/12</f>
        <v>20416.666666666668</v>
      </c>
      <c r="AO13" s="395">
        <f>Feed!$N$6*1000/12</f>
        <v>20416.666666666668</v>
      </c>
      <c r="AP13" s="395">
        <f>Feed!$N$6*1000/12</f>
        <v>20416.666666666668</v>
      </c>
      <c r="AQ13" s="395">
        <f>Feed!$N$6*1000/12</f>
        <v>20416.666666666668</v>
      </c>
      <c r="AR13" s="395">
        <f>Feed!$N$6*1000/12</f>
        <v>20416.666666666668</v>
      </c>
      <c r="AS13" s="395">
        <f>Feed!$N$6*1000/12</f>
        <v>20416.666666666668</v>
      </c>
      <c r="AT13" s="395">
        <f>Feed!$N$6*1000/12</f>
        <v>20416.666666666668</v>
      </c>
      <c r="AU13" s="395">
        <f>Feed!$N$6*1000/12</f>
        <v>20416.666666666668</v>
      </c>
      <c r="AV13" s="395">
        <f>Feed!$N$6*1000/12</f>
        <v>20416.666666666668</v>
      </c>
      <c r="AW13" s="395">
        <f>Feed!$N$6*1000/12</f>
        <v>20416.666666666668</v>
      </c>
      <c r="AX13" s="395">
        <f>Feed!$N$6*1000/12</f>
        <v>20416.666666666668</v>
      </c>
      <c r="AY13" s="395">
        <f>Feed!$N$6*1000/12</f>
        <v>20416.666666666668</v>
      </c>
      <c r="AZ13" s="395">
        <f>Feed!$N$6*1000/12</f>
        <v>20416.666666666668</v>
      </c>
      <c r="BA13" s="395">
        <f>Feed!$N$6*1000/12</f>
        <v>20416.666666666668</v>
      </c>
      <c r="BB13" s="395">
        <f>Feed!$N$6*1000/12</f>
        <v>20416.666666666668</v>
      </c>
      <c r="BC13" s="395">
        <f>Feed!$N$6*1000/12</f>
        <v>20416.666666666668</v>
      </c>
      <c r="BD13" s="395">
        <f>Feed!$N$6*1000/12</f>
        <v>20416.666666666668</v>
      </c>
      <c r="BE13" s="395">
        <f>Feed!$N$6*1000/12</f>
        <v>20416.666666666668</v>
      </c>
      <c r="BF13" s="395">
        <f>Feed!$N$6*1000/12</f>
        <v>20416.666666666668</v>
      </c>
      <c r="BG13" s="395">
        <f>Feed!$N$6*1000/12</f>
        <v>20416.666666666668</v>
      </c>
      <c r="BH13" s="395">
        <f>Feed!$N$6*1000/12</f>
        <v>20416.666666666668</v>
      </c>
      <c r="BI13" s="395">
        <f>Feed!$N$6*1000/12</f>
        <v>20416.666666666668</v>
      </c>
      <c r="BJ13" s="395">
        <f>Feed!$N$6*1000/12</f>
        <v>20416.666666666668</v>
      </c>
      <c r="BK13" s="395">
        <f>Feed!$N$6*1000/12</f>
        <v>20416.666666666668</v>
      </c>
      <c r="BL13" s="395">
        <f>Feed!$N$6*1000/12</f>
        <v>20416.666666666668</v>
      </c>
      <c r="BM13" s="395">
        <f>Feed!$N$6*1000/12</f>
        <v>20416.666666666668</v>
      </c>
      <c r="BN13" s="395">
        <f>Feed!$N$6*1000/12</f>
        <v>20416.666666666668</v>
      </c>
      <c r="BO13" s="395">
        <f>Feed!$N$6*1000/12</f>
        <v>20416.666666666668</v>
      </c>
      <c r="BP13" s="395">
        <f>Feed!$N$6*1000/12</f>
        <v>20416.666666666668</v>
      </c>
      <c r="BQ13" s="395">
        <f>Feed!$N$6*1000/12</f>
        <v>20416.666666666668</v>
      </c>
      <c r="BR13" s="395">
        <f>Feed!$N$6*1000/12</f>
        <v>20416.666666666668</v>
      </c>
      <c r="BS13" s="395">
        <f>Feed!$N$6*1000/12</f>
        <v>20416.666666666668</v>
      </c>
      <c r="BT13" s="395">
        <f>Feed!$N$6*1000/12</f>
        <v>20416.666666666668</v>
      </c>
      <c r="BU13" s="395">
        <f>Feed!$N$6*1000/12</f>
        <v>20416.666666666668</v>
      </c>
      <c r="BV13" s="395">
        <f>Feed!$N$6*1000/12</f>
        <v>20416.666666666668</v>
      </c>
      <c r="BW13" s="395">
        <f>Feed!$N$6*1000/12</f>
        <v>20416.666666666668</v>
      </c>
      <c r="BX13" s="395">
        <f>Feed!$N$6*1000/12</f>
        <v>20416.666666666668</v>
      </c>
      <c r="BY13" s="395">
        <f>Feed!$N$6*1000/12</f>
        <v>20416.666666666668</v>
      </c>
      <c r="BZ13" s="395">
        <f>Feed!$N$6*1000/12</f>
        <v>20416.666666666668</v>
      </c>
      <c r="CA13" s="395">
        <f>Feed!$N$6*1000/12</f>
        <v>20416.666666666668</v>
      </c>
      <c r="CB13" s="395">
        <f>Feed!$N$6*1000/12</f>
        <v>20416.666666666668</v>
      </c>
      <c r="CC13" s="395">
        <f>Feed!$N$6*1000/12</f>
        <v>20416.666666666668</v>
      </c>
      <c r="CD13" s="395">
        <f>Feed!$N$6*1000/12</f>
        <v>20416.666666666668</v>
      </c>
      <c r="CE13" s="395">
        <f>Feed!$N$6*1000/12</f>
        <v>20416.666666666668</v>
      </c>
      <c r="CF13" s="395">
        <f>Feed!$N$6*1000/12</f>
        <v>20416.666666666668</v>
      </c>
      <c r="CG13" s="395">
        <f>Feed!$N$6*1000/12</f>
        <v>20416.666666666668</v>
      </c>
      <c r="CH13" s="395">
        <f>Feed!$N$6*1000/12</f>
        <v>20416.666666666668</v>
      </c>
      <c r="CI13" s="395">
        <f>Feed!$N$6*1000/12</f>
        <v>20416.666666666668</v>
      </c>
      <c r="CJ13" s="395">
        <f>Feed!$N$6*1000/12</f>
        <v>20416.666666666668</v>
      </c>
      <c r="CK13" s="395">
        <f>Feed!$N$6*1000/12</f>
        <v>20416.666666666668</v>
      </c>
      <c r="CL13" s="395">
        <f>Feed!$N$6*1000/12</f>
        <v>20416.666666666668</v>
      </c>
      <c r="CM13" s="397">
        <f t="shared" si="0"/>
        <v>20416.666666666686</v>
      </c>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58"/>
      <c r="EC13" s="58"/>
      <c r="ED13" s="58"/>
      <c r="EE13" s="58"/>
      <c r="EF13" s="58"/>
      <c r="EG13" s="58"/>
      <c r="EH13" s="58"/>
      <c r="EI13" s="58"/>
      <c r="EJ13" s="58"/>
      <c r="EK13" s="58"/>
      <c r="EL13" s="58"/>
      <c r="EM13" s="58"/>
      <c r="EN13" s="58"/>
      <c r="EO13" s="58"/>
      <c r="EP13" s="58"/>
      <c r="EQ13" s="58"/>
      <c r="ER13" s="58"/>
      <c r="ES13" s="58"/>
      <c r="ET13" s="58"/>
      <c r="EU13" s="58"/>
      <c r="EV13" s="58"/>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row>
    <row r="14" spans="1:178">
      <c r="A14" s="1064"/>
      <c r="B14" s="398" t="s">
        <v>312</v>
      </c>
      <c r="C14" s="399" t="s">
        <v>313</v>
      </c>
      <c r="D14" s="399"/>
      <c r="E14" s="1066"/>
      <c r="F14" s="400" t="s">
        <v>306</v>
      </c>
      <c r="G14" s="395">
        <f>Feed!$N$7*1000/12</f>
        <v>11333.333333333334</v>
      </c>
      <c r="H14" s="395">
        <f>Feed!$N$7*1000/12</f>
        <v>11333.333333333334</v>
      </c>
      <c r="I14" s="395">
        <f>Feed!$N$7*1000/12</f>
        <v>11333.333333333334</v>
      </c>
      <c r="J14" s="395">
        <f>Feed!$N$7*1000/12</f>
        <v>11333.333333333334</v>
      </c>
      <c r="K14" s="395">
        <f>Feed!$N$7*1000/12</f>
        <v>11333.333333333334</v>
      </c>
      <c r="L14" s="395">
        <f>Feed!$N$7*1000/12</f>
        <v>11333.333333333334</v>
      </c>
      <c r="M14" s="395">
        <f>Feed!$N$7*1000/12</f>
        <v>11333.333333333334</v>
      </c>
      <c r="N14" s="395">
        <f>Feed!$N$7*1000/12</f>
        <v>11333.333333333334</v>
      </c>
      <c r="O14" s="395">
        <f>Feed!$N$7*1000/12</f>
        <v>11333.333333333334</v>
      </c>
      <c r="P14" s="395">
        <f>Feed!$N$7*1000/12</f>
        <v>11333.333333333334</v>
      </c>
      <c r="Q14" s="395">
        <f>Feed!$N$7*1000/12</f>
        <v>11333.333333333334</v>
      </c>
      <c r="R14" s="395">
        <f>Feed!$N$7*1000/12</f>
        <v>11333.333333333334</v>
      </c>
      <c r="S14" s="395">
        <f>Feed!$N$7*1000/12</f>
        <v>11333.333333333334</v>
      </c>
      <c r="T14" s="395">
        <f>Feed!$N$7*1000/12</f>
        <v>11333.333333333334</v>
      </c>
      <c r="U14" s="395">
        <f>Feed!$N$7*1000/12</f>
        <v>11333.333333333334</v>
      </c>
      <c r="V14" s="395">
        <f>Feed!$N$7*1000/12</f>
        <v>11333.333333333334</v>
      </c>
      <c r="W14" s="395">
        <f>Feed!$N$7*1000/12</f>
        <v>11333.333333333334</v>
      </c>
      <c r="X14" s="395">
        <f>Feed!$N$7*1000/12</f>
        <v>11333.333333333334</v>
      </c>
      <c r="Y14" s="395">
        <f>Feed!$N$7*1000/12</f>
        <v>11333.333333333334</v>
      </c>
      <c r="Z14" s="395">
        <f>Feed!$N$7*1000/12</f>
        <v>11333.333333333334</v>
      </c>
      <c r="AA14" s="395">
        <f>Feed!$N$7*1000/12</f>
        <v>11333.333333333334</v>
      </c>
      <c r="AB14" s="395">
        <f>Feed!$N$7*1000/12</f>
        <v>11333.333333333334</v>
      </c>
      <c r="AC14" s="395">
        <f>Feed!$N$7*1000/12</f>
        <v>11333.333333333334</v>
      </c>
      <c r="AD14" s="395">
        <f>Feed!$N$7*1000/12</f>
        <v>11333.333333333334</v>
      </c>
      <c r="AE14" s="395">
        <f>Feed!$N$7*1000/12</f>
        <v>11333.333333333334</v>
      </c>
      <c r="AF14" s="395">
        <f>Feed!$N$7*1000/12</f>
        <v>11333.333333333334</v>
      </c>
      <c r="AG14" s="395">
        <f>Feed!$N$7*1000/12</f>
        <v>11333.333333333334</v>
      </c>
      <c r="AH14" s="395">
        <f>Feed!$N$7*1000/12</f>
        <v>11333.333333333334</v>
      </c>
      <c r="AI14" s="395">
        <f>Feed!$N$7*1000/12</f>
        <v>11333.333333333334</v>
      </c>
      <c r="AJ14" s="395">
        <f>Feed!$N$7*1000/12</f>
        <v>11333.333333333334</v>
      </c>
      <c r="AK14" s="395">
        <f>Feed!$N$7*1000/12</f>
        <v>11333.333333333334</v>
      </c>
      <c r="AL14" s="395">
        <f>Feed!$N$7*1000/12</f>
        <v>11333.333333333334</v>
      </c>
      <c r="AM14" s="395">
        <f>Feed!$N$7*1000/12</f>
        <v>11333.333333333334</v>
      </c>
      <c r="AN14" s="395">
        <f>Feed!$N$7*1000/12</f>
        <v>11333.333333333334</v>
      </c>
      <c r="AO14" s="395">
        <f>Feed!$N$7*1000/12</f>
        <v>11333.333333333334</v>
      </c>
      <c r="AP14" s="395">
        <f>Feed!$N$7*1000/12</f>
        <v>11333.333333333334</v>
      </c>
      <c r="AQ14" s="395">
        <f>Feed!$N$7*1000/12</f>
        <v>11333.333333333334</v>
      </c>
      <c r="AR14" s="395">
        <f>Feed!$N$7*1000/12</f>
        <v>11333.333333333334</v>
      </c>
      <c r="AS14" s="395">
        <f>Feed!$N$7*1000/12</f>
        <v>11333.333333333334</v>
      </c>
      <c r="AT14" s="395">
        <f>Feed!$N$7*1000/12</f>
        <v>11333.333333333334</v>
      </c>
      <c r="AU14" s="395">
        <f>Feed!$N$7*1000/12</f>
        <v>11333.333333333334</v>
      </c>
      <c r="AV14" s="395">
        <f>Feed!$N$7*1000/12</f>
        <v>11333.333333333334</v>
      </c>
      <c r="AW14" s="395">
        <f>Feed!$N$7*1000/12</f>
        <v>11333.333333333334</v>
      </c>
      <c r="AX14" s="395">
        <f>Feed!$N$7*1000/12</f>
        <v>11333.333333333334</v>
      </c>
      <c r="AY14" s="395">
        <f>Feed!$N$7*1000/12</f>
        <v>11333.333333333334</v>
      </c>
      <c r="AZ14" s="395">
        <f>Feed!$N$7*1000/12</f>
        <v>11333.333333333334</v>
      </c>
      <c r="BA14" s="395">
        <f>Feed!$N$7*1000/12</f>
        <v>11333.333333333334</v>
      </c>
      <c r="BB14" s="395">
        <f>Feed!$N$7*1000/12</f>
        <v>11333.333333333334</v>
      </c>
      <c r="BC14" s="395">
        <f>Feed!$N$7*1000/12</f>
        <v>11333.333333333334</v>
      </c>
      <c r="BD14" s="395">
        <f>Feed!$N$7*1000/12</f>
        <v>11333.333333333334</v>
      </c>
      <c r="BE14" s="395">
        <f>Feed!$N$7*1000/12</f>
        <v>11333.333333333334</v>
      </c>
      <c r="BF14" s="395">
        <f>Feed!$N$7*1000/12</f>
        <v>11333.333333333334</v>
      </c>
      <c r="BG14" s="395">
        <f>Feed!$N$7*1000/12</f>
        <v>11333.333333333334</v>
      </c>
      <c r="BH14" s="395">
        <f>Feed!$N$7*1000/12</f>
        <v>11333.333333333334</v>
      </c>
      <c r="BI14" s="395">
        <f>Feed!$N$7*1000/12</f>
        <v>11333.333333333334</v>
      </c>
      <c r="BJ14" s="395">
        <f>Feed!$N$7*1000/12</f>
        <v>11333.333333333334</v>
      </c>
      <c r="BK14" s="395">
        <f>Feed!$N$7*1000/12</f>
        <v>11333.333333333334</v>
      </c>
      <c r="BL14" s="395">
        <f>Feed!$N$7*1000/12</f>
        <v>11333.333333333334</v>
      </c>
      <c r="BM14" s="395">
        <f>Feed!$N$7*1000/12</f>
        <v>11333.333333333334</v>
      </c>
      <c r="BN14" s="395">
        <f>Feed!$N$7*1000/12</f>
        <v>11333.333333333334</v>
      </c>
      <c r="BO14" s="395">
        <f>Feed!$N$7*1000/12</f>
        <v>11333.333333333334</v>
      </c>
      <c r="BP14" s="395">
        <f>Feed!$N$7*1000/12</f>
        <v>11333.333333333334</v>
      </c>
      <c r="BQ14" s="395">
        <f>Feed!$N$7*1000/12</f>
        <v>11333.333333333334</v>
      </c>
      <c r="BR14" s="395">
        <f>Feed!$N$7*1000/12</f>
        <v>11333.333333333334</v>
      </c>
      <c r="BS14" s="395">
        <f>Feed!$N$7*1000/12</f>
        <v>11333.333333333334</v>
      </c>
      <c r="BT14" s="395">
        <f>Feed!$N$7*1000/12</f>
        <v>11333.333333333334</v>
      </c>
      <c r="BU14" s="395">
        <f>Feed!$N$7*1000/12</f>
        <v>11333.333333333334</v>
      </c>
      <c r="BV14" s="395">
        <f>Feed!$N$7*1000/12</f>
        <v>11333.333333333334</v>
      </c>
      <c r="BW14" s="395">
        <f>Feed!$N$7*1000/12</f>
        <v>11333.333333333334</v>
      </c>
      <c r="BX14" s="395">
        <f>Feed!$N$7*1000/12</f>
        <v>11333.333333333334</v>
      </c>
      <c r="BY14" s="395">
        <f>Feed!$N$7*1000/12</f>
        <v>11333.333333333334</v>
      </c>
      <c r="BZ14" s="395">
        <f>Feed!$N$7*1000/12</f>
        <v>11333.333333333334</v>
      </c>
      <c r="CA14" s="395">
        <f>Feed!$N$7*1000/12</f>
        <v>11333.333333333334</v>
      </c>
      <c r="CB14" s="395">
        <f>Feed!$N$7*1000/12</f>
        <v>11333.333333333334</v>
      </c>
      <c r="CC14" s="395">
        <f>Feed!$N$7*1000/12</f>
        <v>11333.333333333334</v>
      </c>
      <c r="CD14" s="395">
        <f>Feed!$N$7*1000/12</f>
        <v>11333.333333333334</v>
      </c>
      <c r="CE14" s="395">
        <f>Feed!$N$7*1000/12</f>
        <v>11333.333333333334</v>
      </c>
      <c r="CF14" s="395">
        <f>Feed!$N$7*1000/12</f>
        <v>11333.333333333334</v>
      </c>
      <c r="CG14" s="395">
        <f>Feed!$N$7*1000/12</f>
        <v>11333.333333333334</v>
      </c>
      <c r="CH14" s="395">
        <f>Feed!$N$7*1000/12</f>
        <v>11333.333333333334</v>
      </c>
      <c r="CI14" s="395">
        <f>Feed!$N$7*1000/12</f>
        <v>11333.333333333334</v>
      </c>
      <c r="CJ14" s="395">
        <f>Feed!$N$7*1000/12</f>
        <v>11333.333333333334</v>
      </c>
      <c r="CK14" s="395">
        <f>Feed!$N$7*1000/12</f>
        <v>11333.333333333334</v>
      </c>
      <c r="CL14" s="395">
        <f>Feed!$N$7*1000/12</f>
        <v>11333.333333333334</v>
      </c>
      <c r="CM14" s="397">
        <f t="shared" si="0"/>
        <v>11333.333333333347</v>
      </c>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c r="EB14" s="58"/>
      <c r="EC14" s="58"/>
      <c r="ED14" s="58"/>
      <c r="EE14" s="58"/>
      <c r="EF14" s="58"/>
      <c r="EG14" s="58"/>
      <c r="EH14" s="58"/>
      <c r="EI14" s="58"/>
      <c r="EJ14" s="58"/>
      <c r="EK14" s="58"/>
      <c r="EL14" s="58"/>
      <c r="EM14" s="58"/>
      <c r="EN14" s="58"/>
      <c r="EO14" s="58"/>
      <c r="EP14" s="58"/>
      <c r="EQ14" s="58"/>
      <c r="ER14" s="58"/>
      <c r="ES14" s="58"/>
      <c r="ET14" s="58"/>
      <c r="EU14" s="58"/>
      <c r="EV14" s="58"/>
      <c r="EW14" s="58"/>
      <c r="EX14" s="58"/>
      <c r="EY14" s="58"/>
      <c r="EZ14" s="58"/>
      <c r="FA14" s="58"/>
      <c r="FB14" s="58"/>
      <c r="FC14" s="58"/>
      <c r="FD14" s="58"/>
      <c r="FE14" s="58"/>
      <c r="FF14" s="58"/>
      <c r="FG14" s="58"/>
      <c r="FH14" s="58"/>
      <c r="FI14" s="58"/>
      <c r="FJ14" s="58"/>
      <c r="FK14" s="58"/>
      <c r="FL14" s="58"/>
      <c r="FM14" s="58"/>
      <c r="FN14" s="58"/>
      <c r="FO14" s="58"/>
      <c r="FP14" s="58"/>
      <c r="FQ14" s="58"/>
      <c r="FR14" s="58"/>
      <c r="FS14" s="58"/>
      <c r="FT14" s="58"/>
      <c r="FU14" s="58"/>
      <c r="FV14" s="58"/>
    </row>
    <row r="15" spans="1:178">
      <c r="A15" s="1064"/>
      <c r="B15" s="398" t="s">
        <v>312</v>
      </c>
      <c r="C15" s="399" t="s">
        <v>313</v>
      </c>
      <c r="D15" s="399"/>
      <c r="E15" s="1066"/>
      <c r="F15" s="400" t="s">
        <v>1</v>
      </c>
      <c r="G15" s="395">
        <f>Feed!$N$5*1000/12</f>
        <v>89250</v>
      </c>
      <c r="H15" s="395">
        <f>Feed!$N$5*1000/12</f>
        <v>89250</v>
      </c>
      <c r="I15" s="395">
        <f>Feed!$N$5*1000/12</f>
        <v>89250</v>
      </c>
      <c r="J15" s="395">
        <f>Feed!$N$5*1000/12</f>
        <v>89250</v>
      </c>
      <c r="K15" s="395">
        <f>Feed!$N$5*1000/12</f>
        <v>89250</v>
      </c>
      <c r="L15" s="395">
        <f>Feed!$N$5*1000/12</f>
        <v>89250</v>
      </c>
      <c r="M15" s="395">
        <f>Feed!$N$5*1000/12</f>
        <v>89250</v>
      </c>
      <c r="N15" s="395">
        <f>Feed!$N$5*1000/12</f>
        <v>89250</v>
      </c>
      <c r="O15" s="395">
        <f>Feed!$N$5*1000/12</f>
        <v>89250</v>
      </c>
      <c r="P15" s="395">
        <f>Feed!$N$5*1000/12</f>
        <v>89250</v>
      </c>
      <c r="Q15" s="395">
        <f>Feed!$N$5*1000/12</f>
        <v>89250</v>
      </c>
      <c r="R15" s="395">
        <f>Feed!$N$5*1000/12</f>
        <v>89250</v>
      </c>
      <c r="S15" s="395">
        <f>Feed!$N$5*1000/12</f>
        <v>89250</v>
      </c>
      <c r="T15" s="395">
        <f>Feed!$N$5*1000/12</f>
        <v>89250</v>
      </c>
      <c r="U15" s="395">
        <f>Feed!$N$5*1000/12</f>
        <v>89250</v>
      </c>
      <c r="V15" s="395">
        <f>Feed!$N$5*1000/12</f>
        <v>89250</v>
      </c>
      <c r="W15" s="395">
        <f>Feed!$N$5*1000/12</f>
        <v>89250</v>
      </c>
      <c r="X15" s="395">
        <f>Feed!$N$5*1000/12</f>
        <v>89250</v>
      </c>
      <c r="Y15" s="395">
        <f>Feed!$N$5*1000/12</f>
        <v>89250</v>
      </c>
      <c r="Z15" s="395">
        <f>Feed!$N$5*1000/12</f>
        <v>89250</v>
      </c>
      <c r="AA15" s="395">
        <f>Feed!$N$5*1000/12</f>
        <v>89250</v>
      </c>
      <c r="AB15" s="395">
        <f>Feed!$N$5*1000/12</f>
        <v>89250</v>
      </c>
      <c r="AC15" s="395">
        <f>Feed!$N$5*1000/12</f>
        <v>89250</v>
      </c>
      <c r="AD15" s="395">
        <f>Feed!$N$5*1000/12</f>
        <v>89250</v>
      </c>
      <c r="AE15" s="395">
        <f>Feed!$N$5*1000/12</f>
        <v>89250</v>
      </c>
      <c r="AF15" s="395">
        <f>Feed!$N$5*1000/12</f>
        <v>89250</v>
      </c>
      <c r="AG15" s="395">
        <f>Feed!$N$5*1000/12</f>
        <v>89250</v>
      </c>
      <c r="AH15" s="395">
        <f>Feed!$N$5*1000/12</f>
        <v>89250</v>
      </c>
      <c r="AI15" s="395">
        <f>Feed!$N$5*1000/12</f>
        <v>89250</v>
      </c>
      <c r="AJ15" s="395">
        <f>Feed!$N$5*1000/12</f>
        <v>89250</v>
      </c>
      <c r="AK15" s="395">
        <f>Feed!$N$5*1000/12</f>
        <v>89250</v>
      </c>
      <c r="AL15" s="395">
        <f>Feed!$N$5*1000/12</f>
        <v>89250</v>
      </c>
      <c r="AM15" s="395">
        <f>Feed!$N$5*1000/12</f>
        <v>89250</v>
      </c>
      <c r="AN15" s="395">
        <f>Feed!$N$5*1000/12</f>
        <v>89250</v>
      </c>
      <c r="AO15" s="395">
        <f>Feed!$N$5*1000/12</f>
        <v>89250</v>
      </c>
      <c r="AP15" s="395">
        <f>Feed!$N$5*1000/12</f>
        <v>89250</v>
      </c>
      <c r="AQ15" s="395">
        <f>Feed!$N$5*1000/12</f>
        <v>89250</v>
      </c>
      <c r="AR15" s="395">
        <f>Feed!$N$5*1000/12</f>
        <v>89250</v>
      </c>
      <c r="AS15" s="395">
        <f>Feed!$N$5*1000/12</f>
        <v>89250</v>
      </c>
      <c r="AT15" s="395">
        <f>Feed!$N$5*1000/12</f>
        <v>89250</v>
      </c>
      <c r="AU15" s="395">
        <f>Feed!$N$5*1000/12</f>
        <v>89250</v>
      </c>
      <c r="AV15" s="395">
        <f>Feed!$N$5*1000/12</f>
        <v>89250</v>
      </c>
      <c r="AW15" s="395">
        <f>Feed!$N$5*1000/12</f>
        <v>89250</v>
      </c>
      <c r="AX15" s="395">
        <f>Feed!$N$5*1000/12</f>
        <v>89250</v>
      </c>
      <c r="AY15" s="395">
        <f>Feed!$N$5*1000/12</f>
        <v>89250</v>
      </c>
      <c r="AZ15" s="395">
        <f>Feed!$N$5*1000/12</f>
        <v>89250</v>
      </c>
      <c r="BA15" s="395">
        <f>Feed!$N$5*1000/12</f>
        <v>89250</v>
      </c>
      <c r="BB15" s="395">
        <f>Feed!$N$5*1000/12</f>
        <v>89250</v>
      </c>
      <c r="BC15" s="395">
        <f>Feed!$N$5*1000/12</f>
        <v>89250</v>
      </c>
      <c r="BD15" s="395">
        <f>Feed!$N$5*1000/12</f>
        <v>89250</v>
      </c>
      <c r="BE15" s="395">
        <f>Feed!$N$5*1000/12</f>
        <v>89250</v>
      </c>
      <c r="BF15" s="395">
        <f>Feed!$N$5*1000/12</f>
        <v>89250</v>
      </c>
      <c r="BG15" s="395">
        <f>Feed!$N$5*1000/12</f>
        <v>89250</v>
      </c>
      <c r="BH15" s="395">
        <f>Feed!$N$5*1000/12</f>
        <v>89250</v>
      </c>
      <c r="BI15" s="395">
        <f>Feed!$N$5*1000/12</f>
        <v>89250</v>
      </c>
      <c r="BJ15" s="395">
        <f>Feed!$N$5*1000/12</f>
        <v>89250</v>
      </c>
      <c r="BK15" s="395">
        <f>Feed!$N$5*1000/12</f>
        <v>89250</v>
      </c>
      <c r="BL15" s="395">
        <f>Feed!$N$5*1000/12</f>
        <v>89250</v>
      </c>
      <c r="BM15" s="395">
        <f>Feed!$N$5*1000/12</f>
        <v>89250</v>
      </c>
      <c r="BN15" s="395">
        <f>Feed!$N$5*1000/12</f>
        <v>89250</v>
      </c>
      <c r="BO15" s="395">
        <f>Feed!$N$5*1000/12</f>
        <v>89250</v>
      </c>
      <c r="BP15" s="395">
        <f>Feed!$N$5*1000/12</f>
        <v>89250</v>
      </c>
      <c r="BQ15" s="395">
        <f>Feed!$N$5*1000/12</f>
        <v>89250</v>
      </c>
      <c r="BR15" s="395">
        <f>Feed!$N$5*1000/12</f>
        <v>89250</v>
      </c>
      <c r="BS15" s="395">
        <f>Feed!$N$5*1000/12</f>
        <v>89250</v>
      </c>
      <c r="BT15" s="395">
        <f>Feed!$N$5*1000/12</f>
        <v>89250</v>
      </c>
      <c r="BU15" s="395">
        <f>Feed!$N$5*1000/12</f>
        <v>89250</v>
      </c>
      <c r="BV15" s="395">
        <f>Feed!$N$5*1000/12</f>
        <v>89250</v>
      </c>
      <c r="BW15" s="395">
        <f>Feed!$N$5*1000/12</f>
        <v>89250</v>
      </c>
      <c r="BX15" s="395">
        <f>Feed!$N$5*1000/12</f>
        <v>89250</v>
      </c>
      <c r="BY15" s="395">
        <f>Feed!$N$5*1000/12</f>
        <v>89250</v>
      </c>
      <c r="BZ15" s="395">
        <f>Feed!$N$5*1000/12</f>
        <v>89250</v>
      </c>
      <c r="CA15" s="395">
        <f>Feed!$N$5*1000/12</f>
        <v>89250</v>
      </c>
      <c r="CB15" s="395">
        <f>Feed!$N$5*1000/12</f>
        <v>89250</v>
      </c>
      <c r="CC15" s="395">
        <f>Feed!$N$5*1000/12</f>
        <v>89250</v>
      </c>
      <c r="CD15" s="395">
        <f>Feed!$N$5*1000/12</f>
        <v>89250</v>
      </c>
      <c r="CE15" s="395">
        <f>Feed!$N$5*1000/12</f>
        <v>89250</v>
      </c>
      <c r="CF15" s="395">
        <f>Feed!$N$5*1000/12</f>
        <v>89250</v>
      </c>
      <c r="CG15" s="395">
        <f>Feed!$N$5*1000/12</f>
        <v>89250</v>
      </c>
      <c r="CH15" s="395">
        <f>Feed!$N$5*1000/12</f>
        <v>89250</v>
      </c>
      <c r="CI15" s="395">
        <f>Feed!$N$5*1000/12</f>
        <v>89250</v>
      </c>
      <c r="CJ15" s="395">
        <f>Feed!$N$5*1000/12</f>
        <v>89250</v>
      </c>
      <c r="CK15" s="395">
        <f>Feed!$N$5*1000/12</f>
        <v>89250</v>
      </c>
      <c r="CL15" s="395">
        <f>Feed!$N$5*1000/12</f>
        <v>89250</v>
      </c>
      <c r="CM15" s="397">
        <f t="shared" ref="CM15:CM33" si="1">AVERAGE(G15:CL15)</f>
        <v>89250</v>
      </c>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c r="EB15" s="58"/>
      <c r="EC15" s="58"/>
      <c r="ED15" s="58"/>
      <c r="EE15" s="58"/>
      <c r="EF15" s="58"/>
      <c r="EG15" s="58"/>
      <c r="EH15" s="58"/>
      <c r="EI15" s="58"/>
      <c r="EJ15" s="58"/>
      <c r="EK15" s="58"/>
      <c r="EL15" s="58"/>
      <c r="EM15" s="58"/>
      <c r="EN15" s="58"/>
      <c r="EO15" s="58"/>
      <c r="EP15" s="58"/>
      <c r="EQ15" s="58"/>
      <c r="ER15" s="58"/>
      <c r="ES15" s="58"/>
      <c r="ET15" s="58"/>
      <c r="EU15" s="58"/>
      <c r="EV15" s="58"/>
      <c r="EW15" s="58"/>
      <c r="EX15" s="58"/>
      <c r="EY15" s="58"/>
      <c r="EZ15" s="58"/>
      <c r="FA15" s="58"/>
      <c r="FB15" s="58"/>
      <c r="FC15" s="58"/>
      <c r="FD15" s="58"/>
      <c r="FE15" s="58"/>
      <c r="FF15" s="58"/>
      <c r="FG15" s="58"/>
      <c r="FH15" s="58"/>
      <c r="FI15" s="58"/>
      <c r="FJ15" s="58"/>
      <c r="FK15" s="58"/>
      <c r="FL15" s="58"/>
      <c r="FM15" s="58"/>
      <c r="FN15" s="58"/>
      <c r="FO15" s="58"/>
      <c r="FP15" s="58"/>
      <c r="FQ15" s="58"/>
      <c r="FR15" s="58"/>
      <c r="FS15" s="58"/>
      <c r="FT15" s="58"/>
      <c r="FU15" s="58"/>
      <c r="FV15" s="58"/>
    </row>
    <row r="16" spans="1:178">
      <c r="A16" s="1067" t="s">
        <v>315</v>
      </c>
      <c r="B16" s="286" t="s">
        <v>312</v>
      </c>
      <c r="C16" s="356" t="s">
        <v>313</v>
      </c>
      <c r="D16" s="356"/>
      <c r="E16" s="1070" t="s">
        <v>316</v>
      </c>
      <c r="F16" s="402" t="s">
        <v>146</v>
      </c>
      <c r="G16" s="403">
        <f>(Feed!$O$11/12)*1000</f>
        <v>114420.66666666666</v>
      </c>
      <c r="H16" s="403">
        <f>(Feed!$O$11/12)*1000</f>
        <v>114420.66666666666</v>
      </c>
      <c r="I16" s="403">
        <f>(Feed!$O$11/12)*1000</f>
        <v>114420.66666666666</v>
      </c>
      <c r="J16" s="403">
        <f>(Feed!$O$11/12)*1000</f>
        <v>114420.66666666666</v>
      </c>
      <c r="K16" s="403">
        <f>(Feed!$O$11/12)*1000</f>
        <v>114420.66666666666</v>
      </c>
      <c r="L16" s="403">
        <f>(Feed!$O$11/12)*1000</f>
        <v>114420.66666666666</v>
      </c>
      <c r="M16" s="403">
        <f>(Feed!$O$11/12)*1000</f>
        <v>114420.66666666666</v>
      </c>
      <c r="N16" s="403">
        <f>(Feed!$O$11/12)*1000</f>
        <v>114420.66666666666</v>
      </c>
      <c r="O16" s="403">
        <f>(Feed!$O$11/12)*1000</f>
        <v>114420.66666666666</v>
      </c>
      <c r="P16" s="403">
        <f>(Feed!$O$11/12)*1000</f>
        <v>114420.66666666666</v>
      </c>
      <c r="Q16" s="403">
        <f>(Feed!$O$11/12)*1000</f>
        <v>114420.66666666666</v>
      </c>
      <c r="R16" s="403">
        <f>(Feed!$O$11/12)*1000</f>
        <v>114420.66666666666</v>
      </c>
      <c r="S16" s="403">
        <f>(Feed!$O$11/12)*1000</f>
        <v>114420.66666666666</v>
      </c>
      <c r="T16" s="403">
        <f>(Feed!$O$11/12)*1000</f>
        <v>114420.66666666666</v>
      </c>
      <c r="U16" s="403">
        <f>(Feed!$O$11/12)*1000</f>
        <v>114420.66666666666</v>
      </c>
      <c r="V16" s="403">
        <f>(Feed!$O$11/12)*1000</f>
        <v>114420.66666666666</v>
      </c>
      <c r="W16" s="403">
        <f>(Feed!$O$11/12)*1000</f>
        <v>114420.66666666666</v>
      </c>
      <c r="X16" s="403">
        <f>(Feed!$O$11/12)*1000</f>
        <v>114420.66666666666</v>
      </c>
      <c r="Y16" s="403">
        <f>(Feed!$O$11/12)*1000</f>
        <v>114420.66666666666</v>
      </c>
      <c r="Z16" s="403">
        <f>(Feed!$O$11/12)*1000</f>
        <v>114420.66666666666</v>
      </c>
      <c r="AA16" s="403">
        <f>(Feed!$O$11/12)*1000</f>
        <v>114420.66666666666</v>
      </c>
      <c r="AB16" s="403">
        <f>(Feed!$O$11/12)*1000</f>
        <v>114420.66666666666</v>
      </c>
      <c r="AC16" s="403">
        <f>(Feed!$O$11/12)*1000</f>
        <v>114420.66666666666</v>
      </c>
      <c r="AD16" s="403">
        <f>(Feed!$O$11/12)*1000</f>
        <v>114420.66666666666</v>
      </c>
      <c r="AE16" s="403">
        <f>(Feed!$O$11/12)*1000</f>
        <v>114420.66666666666</v>
      </c>
      <c r="AF16" s="403">
        <f>(Feed!$O$11/12)*1000</f>
        <v>114420.66666666666</v>
      </c>
      <c r="AG16" s="403">
        <f>(Feed!$O$11/12)*1000</f>
        <v>114420.66666666666</v>
      </c>
      <c r="AH16" s="403">
        <f>(Feed!$O$11/12)*1000</f>
        <v>114420.66666666666</v>
      </c>
      <c r="AI16" s="403">
        <f>(Feed!$O$11/12)*1000</f>
        <v>114420.66666666666</v>
      </c>
      <c r="AJ16" s="403">
        <f>(Feed!$O$11/12)*1000</f>
        <v>114420.66666666666</v>
      </c>
      <c r="AK16" s="403">
        <f>(Feed!$O$11/12)*1000</f>
        <v>114420.66666666666</v>
      </c>
      <c r="AL16" s="403">
        <f>(Feed!$O$11/12)*1000</f>
        <v>114420.66666666666</v>
      </c>
      <c r="AM16" s="403">
        <f>(Feed!$O$11/12)*1000</f>
        <v>114420.66666666666</v>
      </c>
      <c r="AN16" s="403">
        <f>(Feed!$O$11/12)*1000</f>
        <v>114420.66666666666</v>
      </c>
      <c r="AO16" s="403">
        <f>(Feed!$O$11/12)*1000</f>
        <v>114420.66666666666</v>
      </c>
      <c r="AP16" s="403">
        <f>(Feed!$O$11/12)*1000</f>
        <v>114420.66666666666</v>
      </c>
      <c r="AQ16" s="403">
        <f>(Feed!$O$11/12)*1000</f>
        <v>114420.66666666666</v>
      </c>
      <c r="AR16" s="403">
        <f>(Feed!$O$11/12)*1000</f>
        <v>114420.66666666666</v>
      </c>
      <c r="AS16" s="403">
        <f>(Feed!$O$11/12)*1000</f>
        <v>114420.66666666666</v>
      </c>
      <c r="AT16" s="403">
        <f>(Feed!$O$11/12)*1000</f>
        <v>114420.66666666666</v>
      </c>
      <c r="AU16" s="403">
        <f>(Feed!$O$11/12)*1000</f>
        <v>114420.66666666666</v>
      </c>
      <c r="AV16" s="403">
        <f>(Feed!$O$11/12)*1000</f>
        <v>114420.66666666666</v>
      </c>
      <c r="AW16" s="403">
        <f>(Feed!$O$11/12)*1000</f>
        <v>114420.66666666666</v>
      </c>
      <c r="AX16" s="403">
        <f>(Feed!$O$11/12)*1000</f>
        <v>114420.66666666666</v>
      </c>
      <c r="AY16" s="403">
        <f>(Feed!$O$11/12)*1000</f>
        <v>114420.66666666666</v>
      </c>
      <c r="AZ16" s="403">
        <f>(Feed!$O$11/12)*1000</f>
        <v>114420.66666666666</v>
      </c>
      <c r="BA16" s="403">
        <f>(Feed!$O$11/12)*1000</f>
        <v>114420.66666666666</v>
      </c>
      <c r="BB16" s="403">
        <f>(Feed!$O$11/12)*1000</f>
        <v>114420.66666666666</v>
      </c>
      <c r="BC16" s="403">
        <f>(Feed!$O$11/12)*1000</f>
        <v>114420.66666666666</v>
      </c>
      <c r="BD16" s="403">
        <f>(Feed!$O$11/12)*1000</f>
        <v>114420.66666666666</v>
      </c>
      <c r="BE16" s="403">
        <f>(Feed!$O$11/12)*1000</f>
        <v>114420.66666666666</v>
      </c>
      <c r="BF16" s="403">
        <f>(Feed!$O$11/12)*1000</f>
        <v>114420.66666666666</v>
      </c>
      <c r="BG16" s="403">
        <f>(Feed!$O$11/12)*1000</f>
        <v>114420.66666666666</v>
      </c>
      <c r="BH16" s="403">
        <f>(Feed!$O$11/12)*1000</f>
        <v>114420.66666666666</v>
      </c>
      <c r="BI16" s="403">
        <f>(Feed!$O$11/12)*1000</f>
        <v>114420.66666666666</v>
      </c>
      <c r="BJ16" s="403">
        <f>(Feed!$O$11/12)*1000</f>
        <v>114420.66666666666</v>
      </c>
      <c r="BK16" s="403">
        <f>(Feed!$O$11/12)*1000</f>
        <v>114420.66666666666</v>
      </c>
      <c r="BL16" s="403">
        <f>(Feed!$O$11/12)*1000</f>
        <v>114420.66666666666</v>
      </c>
      <c r="BM16" s="403">
        <f>(Feed!$O$11/12)*1000</f>
        <v>114420.66666666666</v>
      </c>
      <c r="BN16" s="403">
        <f>(Feed!$O$11/12)*1000</f>
        <v>114420.66666666666</v>
      </c>
      <c r="BO16" s="403">
        <f>(Feed!$O$11/12)*1000</f>
        <v>114420.66666666666</v>
      </c>
      <c r="BP16" s="403">
        <f>(Feed!$O$11/12)*1000</f>
        <v>114420.66666666666</v>
      </c>
      <c r="BQ16" s="403">
        <f>(Feed!$O$11/12)*1000</f>
        <v>114420.66666666666</v>
      </c>
      <c r="BR16" s="403">
        <f>(Feed!$O$11/12)*1000</f>
        <v>114420.66666666666</v>
      </c>
      <c r="BS16" s="403">
        <f>(Feed!$O$11/12)*1000</f>
        <v>114420.66666666666</v>
      </c>
      <c r="BT16" s="403">
        <f>(Feed!$O$11/12)*1000</f>
        <v>114420.66666666666</v>
      </c>
      <c r="BU16" s="403">
        <f>(Feed!$O$11/12)*1000</f>
        <v>114420.66666666666</v>
      </c>
      <c r="BV16" s="403">
        <f>(Feed!$O$11/12)*1000</f>
        <v>114420.66666666666</v>
      </c>
      <c r="BW16" s="403">
        <f>(Feed!$O$11/12)*1000</f>
        <v>114420.66666666666</v>
      </c>
      <c r="BX16" s="403">
        <f>(Feed!$O$11/12)*1000</f>
        <v>114420.66666666666</v>
      </c>
      <c r="BY16" s="403">
        <f>(Feed!$O$11/12)*1000</f>
        <v>114420.66666666666</v>
      </c>
      <c r="BZ16" s="403">
        <f>(Feed!$O$11/12)*1000</f>
        <v>114420.66666666666</v>
      </c>
      <c r="CA16" s="403">
        <f>(Feed!$O$11/12)*1000</f>
        <v>114420.66666666666</v>
      </c>
      <c r="CB16" s="403">
        <f>(Feed!$O$11/12)*1000</f>
        <v>114420.66666666666</v>
      </c>
      <c r="CC16" s="403">
        <f>(Feed!$O$11/12)*1000</f>
        <v>114420.66666666666</v>
      </c>
      <c r="CD16" s="403">
        <f>(Feed!$O$11/12)*1000</f>
        <v>114420.66666666666</v>
      </c>
      <c r="CE16" s="403">
        <f>(Feed!$O$11/12)*1000</f>
        <v>114420.66666666666</v>
      </c>
      <c r="CF16" s="403">
        <f>(Feed!$O$11/12)*1000</f>
        <v>114420.66666666666</v>
      </c>
      <c r="CG16" s="403">
        <f>(Feed!$O$11/12)*1000</f>
        <v>114420.66666666666</v>
      </c>
      <c r="CH16" s="403">
        <f>(Feed!$O$11/12)*1000</f>
        <v>114420.66666666666</v>
      </c>
      <c r="CI16" s="403">
        <f>(Feed!$O$11/12)*1000</f>
        <v>114420.66666666666</v>
      </c>
      <c r="CJ16" s="403">
        <f>(Feed!$O$11/12)*1000</f>
        <v>114420.66666666666</v>
      </c>
      <c r="CK16" s="403">
        <f>(Feed!$O$11/12)*1000</f>
        <v>114420.66666666666</v>
      </c>
      <c r="CL16" s="403">
        <f>(Feed!$O$11/12)*1000</f>
        <v>114420.66666666666</v>
      </c>
      <c r="CM16" s="403">
        <f t="shared" si="1"/>
        <v>114420.66666666669</v>
      </c>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58"/>
      <c r="EC16" s="58"/>
      <c r="ED16" s="58"/>
      <c r="EE16" s="58"/>
      <c r="EF16" s="58"/>
      <c r="EG16" s="58"/>
      <c r="EH16" s="58"/>
      <c r="EI16" s="58"/>
      <c r="EJ16" s="58"/>
      <c r="EK16" s="58"/>
      <c r="EL16" s="58"/>
      <c r="EM16" s="58"/>
      <c r="EN16" s="58"/>
      <c r="EO16" s="58"/>
      <c r="EP16" s="58"/>
      <c r="EQ16" s="58"/>
      <c r="ER16" s="58"/>
      <c r="ES16" s="58"/>
      <c r="ET16" s="58"/>
      <c r="EU16" s="58"/>
      <c r="EV16" s="58"/>
      <c r="EW16" s="58"/>
      <c r="EX16" s="58"/>
      <c r="EY16" s="58"/>
      <c r="EZ16" s="58"/>
      <c r="FA16" s="58"/>
      <c r="FB16" s="58"/>
      <c r="FC16" s="58"/>
      <c r="FD16" s="58"/>
      <c r="FE16" s="58"/>
      <c r="FF16" s="58"/>
      <c r="FG16" s="58"/>
      <c r="FH16" s="58"/>
      <c r="FI16" s="58"/>
      <c r="FJ16" s="58"/>
      <c r="FK16" s="58"/>
      <c r="FL16" s="58"/>
      <c r="FM16" s="58"/>
      <c r="FN16" s="58"/>
      <c r="FO16" s="58"/>
      <c r="FP16" s="58"/>
      <c r="FQ16" s="58"/>
      <c r="FR16" s="58"/>
      <c r="FS16" s="58"/>
      <c r="FT16" s="58"/>
      <c r="FU16" s="58"/>
      <c r="FV16" s="58"/>
    </row>
    <row r="17" spans="1:178">
      <c r="A17" s="1068"/>
      <c r="B17" s="2" t="s">
        <v>312</v>
      </c>
      <c r="C17" s="362" t="s">
        <v>313</v>
      </c>
      <c r="D17" s="362"/>
      <c r="E17" s="1071"/>
      <c r="F17" s="404" t="s">
        <v>2</v>
      </c>
      <c r="G17" s="405">
        <f>(Feed!$O$12/12)*1000</f>
        <v>28512</v>
      </c>
      <c r="H17" s="405">
        <f>(Feed!$O$12/12)*1000</f>
        <v>28512</v>
      </c>
      <c r="I17" s="405">
        <f>(Feed!$O$12/12)*1000</f>
        <v>28512</v>
      </c>
      <c r="J17" s="405">
        <f>(Feed!$O$12/12)*1000</f>
        <v>28512</v>
      </c>
      <c r="K17" s="405">
        <f>(Feed!$O$12/12)*1000</f>
        <v>28512</v>
      </c>
      <c r="L17" s="405">
        <f>(Feed!$O$12/12)*1000</f>
        <v>28512</v>
      </c>
      <c r="M17" s="405">
        <f>(Feed!$O$12/12)*1000</f>
        <v>28512</v>
      </c>
      <c r="N17" s="405">
        <f>(Feed!$O$12/12)*1000</f>
        <v>28512</v>
      </c>
      <c r="O17" s="405">
        <f>(Feed!$O$12/12)*1000</f>
        <v>28512</v>
      </c>
      <c r="P17" s="405">
        <f>(Feed!$O$12/12)*1000</f>
        <v>28512</v>
      </c>
      <c r="Q17" s="405">
        <f>(Feed!$O$12/12)*1000</f>
        <v>28512</v>
      </c>
      <c r="R17" s="405">
        <f>(Feed!$O$12/12)*1000</f>
        <v>28512</v>
      </c>
      <c r="S17" s="405">
        <f>(Feed!$O$12/12)*1000</f>
        <v>28512</v>
      </c>
      <c r="T17" s="405">
        <f>(Feed!$O$12/12)*1000</f>
        <v>28512</v>
      </c>
      <c r="U17" s="405">
        <f>(Feed!$O$12/12)*1000</f>
        <v>28512</v>
      </c>
      <c r="V17" s="405">
        <f>(Feed!$O$12/12)*1000</f>
        <v>28512</v>
      </c>
      <c r="W17" s="405">
        <f>(Feed!$O$12/12)*1000</f>
        <v>28512</v>
      </c>
      <c r="X17" s="405">
        <f>(Feed!$O$12/12)*1000</f>
        <v>28512</v>
      </c>
      <c r="Y17" s="405">
        <f>(Feed!$O$12/12)*1000</f>
        <v>28512</v>
      </c>
      <c r="Z17" s="405">
        <f>(Feed!$O$12/12)*1000</f>
        <v>28512</v>
      </c>
      <c r="AA17" s="405">
        <f>(Feed!$O$12/12)*1000</f>
        <v>28512</v>
      </c>
      <c r="AB17" s="405">
        <f>(Feed!$O$12/12)*1000</f>
        <v>28512</v>
      </c>
      <c r="AC17" s="405">
        <f>(Feed!$O$12/12)*1000</f>
        <v>28512</v>
      </c>
      <c r="AD17" s="405">
        <f>(Feed!$O$12/12)*1000</f>
        <v>28512</v>
      </c>
      <c r="AE17" s="405">
        <f>(Feed!$O$12/12)*1000</f>
        <v>28512</v>
      </c>
      <c r="AF17" s="405">
        <f>(Feed!$O$12/12)*1000</f>
        <v>28512</v>
      </c>
      <c r="AG17" s="405">
        <f>(Feed!$O$12/12)*1000</f>
        <v>28512</v>
      </c>
      <c r="AH17" s="405">
        <f>(Feed!$O$12/12)*1000</f>
        <v>28512</v>
      </c>
      <c r="AI17" s="405">
        <f>(Feed!$O$12/12)*1000</f>
        <v>28512</v>
      </c>
      <c r="AJ17" s="405">
        <f>(Feed!$O$12/12)*1000</f>
        <v>28512</v>
      </c>
      <c r="AK17" s="405">
        <f>(Feed!$O$12/12)*1000</f>
        <v>28512</v>
      </c>
      <c r="AL17" s="405">
        <f>(Feed!$O$12/12)*1000</f>
        <v>28512</v>
      </c>
      <c r="AM17" s="405">
        <f>(Feed!$O$12/12)*1000</f>
        <v>28512</v>
      </c>
      <c r="AN17" s="405">
        <f>(Feed!$O$12/12)*1000</f>
        <v>28512</v>
      </c>
      <c r="AO17" s="405">
        <f>(Feed!$O$12/12)*1000</f>
        <v>28512</v>
      </c>
      <c r="AP17" s="405">
        <f>(Feed!$O$12/12)*1000</f>
        <v>28512</v>
      </c>
      <c r="AQ17" s="405">
        <f>(Feed!$O$12/12)*1000</f>
        <v>28512</v>
      </c>
      <c r="AR17" s="405">
        <f>(Feed!$O$12/12)*1000</f>
        <v>28512</v>
      </c>
      <c r="AS17" s="405">
        <f>(Feed!$O$12/12)*1000</f>
        <v>28512</v>
      </c>
      <c r="AT17" s="405">
        <f>(Feed!$O$12/12)*1000</f>
        <v>28512</v>
      </c>
      <c r="AU17" s="405">
        <f>(Feed!$O$12/12)*1000</f>
        <v>28512</v>
      </c>
      <c r="AV17" s="405">
        <f>(Feed!$O$12/12)*1000</f>
        <v>28512</v>
      </c>
      <c r="AW17" s="405">
        <f>(Feed!$O$12/12)*1000</f>
        <v>28512</v>
      </c>
      <c r="AX17" s="405">
        <f>(Feed!$O$12/12)*1000</f>
        <v>28512</v>
      </c>
      <c r="AY17" s="405">
        <f>(Feed!$O$12/12)*1000</f>
        <v>28512</v>
      </c>
      <c r="AZ17" s="405">
        <f>(Feed!$O$12/12)*1000</f>
        <v>28512</v>
      </c>
      <c r="BA17" s="405">
        <f>(Feed!$O$12/12)*1000</f>
        <v>28512</v>
      </c>
      <c r="BB17" s="405">
        <f>(Feed!$O$12/12)*1000</f>
        <v>28512</v>
      </c>
      <c r="BC17" s="405">
        <f>(Feed!$O$12/12)*1000</f>
        <v>28512</v>
      </c>
      <c r="BD17" s="405">
        <f>(Feed!$O$12/12)*1000</f>
        <v>28512</v>
      </c>
      <c r="BE17" s="405">
        <f>(Feed!$O$12/12)*1000</f>
        <v>28512</v>
      </c>
      <c r="BF17" s="405">
        <f>(Feed!$O$12/12)*1000</f>
        <v>28512</v>
      </c>
      <c r="BG17" s="405">
        <f>(Feed!$O$12/12)*1000</f>
        <v>28512</v>
      </c>
      <c r="BH17" s="405">
        <f>(Feed!$O$12/12)*1000</f>
        <v>28512</v>
      </c>
      <c r="BI17" s="405">
        <f>(Feed!$O$12/12)*1000</f>
        <v>28512</v>
      </c>
      <c r="BJ17" s="405">
        <f>(Feed!$O$12/12)*1000</f>
        <v>28512</v>
      </c>
      <c r="BK17" s="405">
        <f>(Feed!$O$12/12)*1000</f>
        <v>28512</v>
      </c>
      <c r="BL17" s="405">
        <f>(Feed!$O$12/12)*1000</f>
        <v>28512</v>
      </c>
      <c r="BM17" s="405">
        <f>(Feed!$O$12/12)*1000</f>
        <v>28512</v>
      </c>
      <c r="BN17" s="405">
        <f>(Feed!$O$12/12)*1000</f>
        <v>28512</v>
      </c>
      <c r="BO17" s="405">
        <f>(Feed!$O$12/12)*1000</f>
        <v>28512</v>
      </c>
      <c r="BP17" s="405">
        <f>(Feed!$O$12/12)*1000</f>
        <v>28512</v>
      </c>
      <c r="BQ17" s="405">
        <f>(Feed!$O$12/12)*1000</f>
        <v>28512</v>
      </c>
      <c r="BR17" s="405">
        <f>(Feed!$O$12/12)*1000</f>
        <v>28512</v>
      </c>
      <c r="BS17" s="405">
        <f>(Feed!$O$12/12)*1000</f>
        <v>28512</v>
      </c>
      <c r="BT17" s="405">
        <f>(Feed!$O$12/12)*1000</f>
        <v>28512</v>
      </c>
      <c r="BU17" s="405">
        <f>(Feed!$O$12/12)*1000</f>
        <v>28512</v>
      </c>
      <c r="BV17" s="405">
        <f>(Feed!$O$12/12)*1000</f>
        <v>28512</v>
      </c>
      <c r="BW17" s="405">
        <f>(Feed!$O$12/12)*1000</f>
        <v>28512</v>
      </c>
      <c r="BX17" s="405">
        <f>(Feed!$O$12/12)*1000</f>
        <v>28512</v>
      </c>
      <c r="BY17" s="405">
        <f>(Feed!$O$12/12)*1000</f>
        <v>28512</v>
      </c>
      <c r="BZ17" s="405">
        <f>(Feed!$O$12/12)*1000</f>
        <v>28512</v>
      </c>
      <c r="CA17" s="405">
        <f>(Feed!$O$12/12)*1000</f>
        <v>28512</v>
      </c>
      <c r="CB17" s="405">
        <f>(Feed!$O$12/12)*1000</f>
        <v>28512</v>
      </c>
      <c r="CC17" s="405">
        <f>(Feed!$O$12/12)*1000</f>
        <v>28512</v>
      </c>
      <c r="CD17" s="405">
        <f>(Feed!$O$12/12)*1000</f>
        <v>28512</v>
      </c>
      <c r="CE17" s="405">
        <f>(Feed!$O$12/12)*1000</f>
        <v>28512</v>
      </c>
      <c r="CF17" s="405">
        <f>(Feed!$O$12/12)*1000</f>
        <v>28512</v>
      </c>
      <c r="CG17" s="405">
        <f>(Feed!$O$12/12)*1000</f>
        <v>28512</v>
      </c>
      <c r="CH17" s="405">
        <f>(Feed!$O$12/12)*1000</f>
        <v>28512</v>
      </c>
      <c r="CI17" s="405">
        <f>(Feed!$O$12/12)*1000</f>
        <v>28512</v>
      </c>
      <c r="CJ17" s="405">
        <f>(Feed!$O$12/12)*1000</f>
        <v>28512</v>
      </c>
      <c r="CK17" s="405">
        <f>(Feed!$O$12/12)*1000</f>
        <v>28512</v>
      </c>
      <c r="CL17" s="405">
        <f>(Feed!$O$12/12)*1000</f>
        <v>28512</v>
      </c>
      <c r="CM17" s="405">
        <f t="shared" si="1"/>
        <v>28512</v>
      </c>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58"/>
      <c r="EC17" s="58"/>
      <c r="ED17" s="58"/>
      <c r="EE17" s="58"/>
      <c r="EF17" s="58"/>
      <c r="EG17" s="58"/>
      <c r="EH17" s="58"/>
      <c r="EI17" s="58"/>
      <c r="EJ17" s="58"/>
      <c r="EK17" s="58"/>
      <c r="EL17" s="58"/>
      <c r="EM17" s="58"/>
      <c r="EN17" s="58"/>
      <c r="EO17" s="58"/>
      <c r="EP17" s="58"/>
      <c r="EQ17" s="58"/>
      <c r="ER17" s="58"/>
      <c r="ES17" s="58"/>
      <c r="ET17" s="58"/>
      <c r="EU17" s="58"/>
      <c r="EV17" s="58"/>
      <c r="EW17" s="58"/>
      <c r="EX17" s="58"/>
      <c r="EY17" s="58"/>
      <c r="EZ17" s="58"/>
      <c r="FA17" s="58"/>
      <c r="FB17" s="58"/>
      <c r="FC17" s="58"/>
      <c r="FD17" s="58"/>
      <c r="FE17" s="58"/>
      <c r="FF17" s="58"/>
      <c r="FG17" s="58"/>
      <c r="FH17" s="58"/>
      <c r="FI17" s="58"/>
      <c r="FJ17" s="58"/>
      <c r="FK17" s="58"/>
      <c r="FL17" s="58"/>
      <c r="FM17" s="58"/>
      <c r="FN17" s="58"/>
      <c r="FO17" s="58"/>
      <c r="FP17" s="58"/>
      <c r="FQ17" s="58"/>
      <c r="FR17" s="58"/>
      <c r="FS17" s="58"/>
      <c r="FT17" s="58"/>
      <c r="FU17" s="58"/>
      <c r="FV17" s="58"/>
    </row>
    <row r="18" spans="1:178">
      <c r="A18" s="1068"/>
      <c r="B18" s="2" t="s">
        <v>312</v>
      </c>
      <c r="C18" s="362" t="s">
        <v>313</v>
      </c>
      <c r="D18" s="362"/>
      <c r="E18" s="1071"/>
      <c r="F18" s="404" t="str">
        <f>F7</f>
        <v xml:space="preserve">Benzene </v>
      </c>
      <c r="G18" s="405">
        <f>Feed!$O14*1000/12</f>
        <v>8204.7900000000027</v>
      </c>
      <c r="H18" s="405">
        <f>Feed!$O14*1000/12</f>
        <v>8204.7900000000027</v>
      </c>
      <c r="I18" s="405">
        <f>Feed!$O14*1000/12</f>
        <v>8204.7900000000027</v>
      </c>
      <c r="J18" s="405">
        <f>Feed!$O14*1000/12</f>
        <v>8204.7900000000027</v>
      </c>
      <c r="K18" s="405">
        <f>Feed!$O14*1000/12</f>
        <v>8204.7900000000027</v>
      </c>
      <c r="L18" s="405">
        <f>Feed!$O14*1000/12</f>
        <v>8204.7900000000027</v>
      </c>
      <c r="M18" s="405">
        <f>Feed!$O14*1000/12</f>
        <v>8204.7900000000027</v>
      </c>
      <c r="N18" s="405">
        <f>Feed!$O14*1000/12</f>
        <v>8204.7900000000027</v>
      </c>
      <c r="O18" s="405">
        <f>Feed!$O14*1000/12</f>
        <v>8204.7900000000027</v>
      </c>
      <c r="P18" s="405">
        <f>Feed!$O14*1000/12</f>
        <v>8204.7900000000027</v>
      </c>
      <c r="Q18" s="405">
        <f>Feed!$O14*1000/12</f>
        <v>8204.7900000000027</v>
      </c>
      <c r="R18" s="405">
        <f>Feed!$O14*1000/12</f>
        <v>8204.7900000000027</v>
      </c>
      <c r="S18" s="405">
        <f>Feed!$O14*1000/12</f>
        <v>8204.7900000000027</v>
      </c>
      <c r="T18" s="405">
        <f>Feed!$O14*1000/12</f>
        <v>8204.7900000000027</v>
      </c>
      <c r="U18" s="405">
        <f>Feed!$O14*1000/12</f>
        <v>8204.7900000000027</v>
      </c>
      <c r="V18" s="405">
        <f>Feed!$O14*1000/12</f>
        <v>8204.7900000000027</v>
      </c>
      <c r="W18" s="405">
        <f>Feed!$O14*1000/12</f>
        <v>8204.7900000000027</v>
      </c>
      <c r="X18" s="405">
        <f>Feed!$O14*1000/12</f>
        <v>8204.7900000000027</v>
      </c>
      <c r="Y18" s="405">
        <f>Feed!$O14*1000/12</f>
        <v>8204.7900000000027</v>
      </c>
      <c r="Z18" s="405">
        <f>Feed!$O14*1000/12</f>
        <v>8204.7900000000027</v>
      </c>
      <c r="AA18" s="405">
        <f>Feed!$O14*1000/12</f>
        <v>8204.7900000000027</v>
      </c>
      <c r="AB18" s="405">
        <f>Feed!$O14*1000/12</f>
        <v>8204.7900000000027</v>
      </c>
      <c r="AC18" s="405">
        <f>Feed!$O14*1000/12</f>
        <v>8204.7900000000027</v>
      </c>
      <c r="AD18" s="405">
        <f>Feed!$O14*1000/12</f>
        <v>8204.7900000000027</v>
      </c>
      <c r="AE18" s="405">
        <f>Feed!$O14*1000/12</f>
        <v>8204.7900000000027</v>
      </c>
      <c r="AF18" s="405">
        <f>Feed!$O14*1000/12</f>
        <v>8204.7900000000027</v>
      </c>
      <c r="AG18" s="405">
        <f>Feed!$O14*1000/12</f>
        <v>8204.7900000000027</v>
      </c>
      <c r="AH18" s="405">
        <f>Feed!$O14*1000/12</f>
        <v>8204.7900000000027</v>
      </c>
      <c r="AI18" s="405">
        <f>Feed!$O14*1000/12</f>
        <v>8204.7900000000027</v>
      </c>
      <c r="AJ18" s="405">
        <f>Feed!$O14*1000/12</f>
        <v>8204.7900000000027</v>
      </c>
      <c r="AK18" s="405">
        <f>Feed!$O14*1000/12</f>
        <v>8204.7900000000027</v>
      </c>
      <c r="AL18" s="405">
        <f>Feed!$O14*1000/12</f>
        <v>8204.7900000000027</v>
      </c>
      <c r="AM18" s="405">
        <f>Feed!$O14*1000/12</f>
        <v>8204.7900000000027</v>
      </c>
      <c r="AN18" s="405">
        <f>Feed!$O14*1000/12</f>
        <v>8204.7900000000027</v>
      </c>
      <c r="AO18" s="405">
        <f>Feed!$O14*1000/12</f>
        <v>8204.7900000000027</v>
      </c>
      <c r="AP18" s="405">
        <f>Feed!$O14*1000/12</f>
        <v>8204.7900000000027</v>
      </c>
      <c r="AQ18" s="405">
        <f>Feed!$O14*1000/12</f>
        <v>8204.7900000000027</v>
      </c>
      <c r="AR18" s="405">
        <f>Feed!$O14*1000/12</f>
        <v>8204.7900000000027</v>
      </c>
      <c r="AS18" s="405">
        <f>Feed!$O14*1000/12</f>
        <v>8204.7900000000027</v>
      </c>
      <c r="AT18" s="405">
        <f>Feed!$O14*1000/12</f>
        <v>8204.7900000000027</v>
      </c>
      <c r="AU18" s="405">
        <f>Feed!$O14*1000/12</f>
        <v>8204.7900000000027</v>
      </c>
      <c r="AV18" s="405">
        <f>Feed!$O14*1000/12</f>
        <v>8204.7900000000027</v>
      </c>
      <c r="AW18" s="405">
        <f>Feed!$O14*1000/12</f>
        <v>8204.7900000000027</v>
      </c>
      <c r="AX18" s="405">
        <f>Feed!$O14*1000/12</f>
        <v>8204.7900000000027</v>
      </c>
      <c r="AY18" s="405">
        <f>Feed!$O14*1000/12</f>
        <v>8204.7900000000027</v>
      </c>
      <c r="AZ18" s="405">
        <f>Feed!$O14*1000/12</f>
        <v>8204.7900000000027</v>
      </c>
      <c r="BA18" s="405">
        <f>Feed!$O14*1000/12</f>
        <v>8204.7900000000027</v>
      </c>
      <c r="BB18" s="405">
        <f>Feed!$O14*1000/12</f>
        <v>8204.7900000000027</v>
      </c>
      <c r="BC18" s="405">
        <f>Feed!$O14*1000/12</f>
        <v>8204.7900000000027</v>
      </c>
      <c r="BD18" s="405">
        <f>Feed!$O14*1000/12</f>
        <v>8204.7900000000027</v>
      </c>
      <c r="BE18" s="405">
        <f>Feed!$O14*1000/12</f>
        <v>8204.7900000000027</v>
      </c>
      <c r="BF18" s="405">
        <f>Feed!$O14*1000/12</f>
        <v>8204.7900000000027</v>
      </c>
      <c r="BG18" s="405">
        <f>Feed!$O14*1000/12</f>
        <v>8204.7900000000027</v>
      </c>
      <c r="BH18" s="405">
        <f>Feed!$O14*1000/12</f>
        <v>8204.7900000000027</v>
      </c>
      <c r="BI18" s="405">
        <f>Feed!$O14*1000/12</f>
        <v>8204.7900000000027</v>
      </c>
      <c r="BJ18" s="405">
        <f>Feed!$O14*1000/12</f>
        <v>8204.7900000000027</v>
      </c>
      <c r="BK18" s="405">
        <f>Feed!$O14*1000/12</f>
        <v>8204.7900000000027</v>
      </c>
      <c r="BL18" s="405">
        <f>Feed!$O14*1000/12</f>
        <v>8204.7900000000027</v>
      </c>
      <c r="BM18" s="405">
        <f>Feed!$O14*1000/12</f>
        <v>8204.7900000000027</v>
      </c>
      <c r="BN18" s="405">
        <f>Feed!$O14*1000/12</f>
        <v>8204.7900000000027</v>
      </c>
      <c r="BO18" s="405">
        <f>Feed!$O14*1000/12</f>
        <v>8204.7900000000027</v>
      </c>
      <c r="BP18" s="405">
        <f>Feed!$O14*1000/12</f>
        <v>8204.7900000000027</v>
      </c>
      <c r="BQ18" s="405">
        <f>Feed!$O14*1000/12</f>
        <v>8204.7900000000027</v>
      </c>
      <c r="BR18" s="405">
        <f>Feed!$O14*1000/12</f>
        <v>8204.7900000000027</v>
      </c>
      <c r="BS18" s="405">
        <f>Feed!$O14*1000/12</f>
        <v>8204.7900000000027</v>
      </c>
      <c r="BT18" s="405">
        <f>Feed!$O14*1000/12</f>
        <v>8204.7900000000027</v>
      </c>
      <c r="BU18" s="405">
        <f>Feed!$O14*1000/12</f>
        <v>8204.7900000000027</v>
      </c>
      <c r="BV18" s="405">
        <f>Feed!$O14*1000/12</f>
        <v>8204.7900000000027</v>
      </c>
      <c r="BW18" s="405">
        <f>Feed!$O14*1000/12</f>
        <v>8204.7900000000027</v>
      </c>
      <c r="BX18" s="405">
        <f>Feed!$O14*1000/12</f>
        <v>8204.7900000000027</v>
      </c>
      <c r="BY18" s="405">
        <f>Feed!$O14*1000/12</f>
        <v>8204.7900000000027</v>
      </c>
      <c r="BZ18" s="405">
        <f>Feed!$O14*1000/12</f>
        <v>8204.7900000000027</v>
      </c>
      <c r="CA18" s="405">
        <f>Feed!$O14*1000/12</f>
        <v>8204.7900000000027</v>
      </c>
      <c r="CB18" s="405">
        <f>Feed!$O14*1000/12</f>
        <v>8204.7900000000027</v>
      </c>
      <c r="CC18" s="405">
        <f>Feed!$O14*1000/12</f>
        <v>8204.7900000000027</v>
      </c>
      <c r="CD18" s="405">
        <f>Feed!$O14*1000/12</f>
        <v>8204.7900000000027</v>
      </c>
      <c r="CE18" s="405">
        <f>Feed!$O14*1000/12</f>
        <v>8204.7900000000027</v>
      </c>
      <c r="CF18" s="405">
        <f>Feed!$O14*1000/12</f>
        <v>8204.7900000000027</v>
      </c>
      <c r="CG18" s="405">
        <f>Feed!$O14*1000/12</f>
        <v>8204.7900000000027</v>
      </c>
      <c r="CH18" s="405">
        <f>Feed!$O14*1000/12</f>
        <v>8204.7900000000027</v>
      </c>
      <c r="CI18" s="405">
        <f>Feed!$O14*1000/12</f>
        <v>8204.7900000000027</v>
      </c>
      <c r="CJ18" s="405">
        <f>Feed!$O14*1000/12</f>
        <v>8204.7900000000027</v>
      </c>
      <c r="CK18" s="405">
        <f>Feed!$O14*1000/12</f>
        <v>8204.7900000000027</v>
      </c>
      <c r="CL18" s="405">
        <f>Feed!$O14*1000/12</f>
        <v>8204.7900000000027</v>
      </c>
      <c r="CM18" s="405">
        <f t="shared" si="1"/>
        <v>8204.7900000000045</v>
      </c>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c r="EB18" s="58"/>
      <c r="EC18" s="58"/>
      <c r="ED18" s="58"/>
      <c r="EE18" s="58"/>
      <c r="EF18" s="58"/>
      <c r="EG18" s="58"/>
      <c r="EH18" s="58"/>
      <c r="EI18" s="58"/>
      <c r="EJ18" s="58"/>
      <c r="EK18" s="58"/>
      <c r="EL18" s="58"/>
      <c r="EM18" s="58"/>
      <c r="EN18" s="58"/>
      <c r="EO18" s="58"/>
      <c r="EP18" s="58"/>
      <c r="EQ18" s="58"/>
      <c r="ER18" s="58"/>
      <c r="ES18" s="58"/>
      <c r="ET18" s="58"/>
      <c r="EU18" s="58"/>
      <c r="EV18" s="58"/>
      <c r="EW18" s="58"/>
      <c r="EX18" s="58"/>
      <c r="EY18" s="58"/>
      <c r="EZ18" s="58"/>
      <c r="FA18" s="58"/>
      <c r="FB18" s="58"/>
      <c r="FC18" s="58"/>
      <c r="FD18" s="58"/>
      <c r="FE18" s="58"/>
      <c r="FF18" s="58"/>
      <c r="FG18" s="58"/>
      <c r="FH18" s="58"/>
      <c r="FI18" s="58"/>
      <c r="FJ18" s="58"/>
      <c r="FK18" s="58"/>
      <c r="FL18" s="58"/>
      <c r="FM18" s="58"/>
      <c r="FN18" s="58"/>
      <c r="FO18" s="58"/>
      <c r="FP18" s="58"/>
      <c r="FQ18" s="58"/>
      <c r="FR18" s="58"/>
      <c r="FS18" s="58"/>
      <c r="FT18" s="58"/>
      <c r="FU18" s="58"/>
      <c r="FV18" s="58"/>
    </row>
    <row r="19" spans="1:178">
      <c r="A19" s="1068"/>
      <c r="B19" s="2" t="s">
        <v>312</v>
      </c>
      <c r="C19" s="362" t="s">
        <v>313</v>
      </c>
      <c r="D19" s="362"/>
      <c r="E19" s="1071"/>
      <c r="F19" s="404" t="str">
        <f>F8</f>
        <v xml:space="preserve"> 1,3 Butadiene </v>
      </c>
      <c r="G19" s="405">
        <f>Feed!$O$15*1000/12</f>
        <v>8715.966666666669</v>
      </c>
      <c r="H19" s="405">
        <f>Feed!$O$15*1000/12</f>
        <v>8715.966666666669</v>
      </c>
      <c r="I19" s="405">
        <f>Feed!$O$15*1000/12</f>
        <v>8715.966666666669</v>
      </c>
      <c r="J19" s="405">
        <f>Feed!$O$15*1000/12</f>
        <v>8715.966666666669</v>
      </c>
      <c r="K19" s="405">
        <f>Feed!$O$15*1000/12</f>
        <v>8715.966666666669</v>
      </c>
      <c r="L19" s="405">
        <f>Feed!$O$15*1000/12</f>
        <v>8715.966666666669</v>
      </c>
      <c r="M19" s="405">
        <f>Feed!$O$15*1000/12</f>
        <v>8715.966666666669</v>
      </c>
      <c r="N19" s="405">
        <f>Feed!$O$15*1000/12</f>
        <v>8715.966666666669</v>
      </c>
      <c r="O19" s="405">
        <f>Feed!$O$15*1000/12</f>
        <v>8715.966666666669</v>
      </c>
      <c r="P19" s="405">
        <f>Feed!$O$15*1000/12</f>
        <v>8715.966666666669</v>
      </c>
      <c r="Q19" s="405">
        <f>Feed!$O$15*1000/12</f>
        <v>8715.966666666669</v>
      </c>
      <c r="R19" s="405">
        <f>Feed!$O$15*1000/12</f>
        <v>8715.966666666669</v>
      </c>
      <c r="S19" s="405">
        <f>Feed!$O$15*1000/12</f>
        <v>8715.966666666669</v>
      </c>
      <c r="T19" s="405">
        <f>Feed!$O$15*1000/12</f>
        <v>8715.966666666669</v>
      </c>
      <c r="U19" s="405">
        <f>Feed!$O$15*1000/12</f>
        <v>8715.966666666669</v>
      </c>
      <c r="V19" s="405">
        <f>Feed!$O$15*1000/12</f>
        <v>8715.966666666669</v>
      </c>
      <c r="W19" s="405">
        <f>Feed!$O$15*1000/12</f>
        <v>8715.966666666669</v>
      </c>
      <c r="X19" s="405">
        <f>Feed!$O$15*1000/12</f>
        <v>8715.966666666669</v>
      </c>
      <c r="Y19" s="405">
        <f>Feed!$O$15*1000/12</f>
        <v>8715.966666666669</v>
      </c>
      <c r="Z19" s="405">
        <f>Feed!$O$15*1000/12</f>
        <v>8715.966666666669</v>
      </c>
      <c r="AA19" s="405">
        <f>Feed!$O$15*1000/12</f>
        <v>8715.966666666669</v>
      </c>
      <c r="AB19" s="405">
        <f>Feed!$O$15*1000/12</f>
        <v>8715.966666666669</v>
      </c>
      <c r="AC19" s="405">
        <f>Feed!$O$15*1000/12</f>
        <v>8715.966666666669</v>
      </c>
      <c r="AD19" s="405">
        <f>Feed!$O$15*1000/12</f>
        <v>8715.966666666669</v>
      </c>
      <c r="AE19" s="405">
        <f>Feed!$O$15*1000/12</f>
        <v>8715.966666666669</v>
      </c>
      <c r="AF19" s="405">
        <f>Feed!$O$15*1000/12</f>
        <v>8715.966666666669</v>
      </c>
      <c r="AG19" s="405">
        <f>Feed!$O$15*1000/12</f>
        <v>8715.966666666669</v>
      </c>
      <c r="AH19" s="405">
        <f>Feed!$O$15*1000/12</f>
        <v>8715.966666666669</v>
      </c>
      <c r="AI19" s="405">
        <f>Feed!$O$15*1000/12</f>
        <v>8715.966666666669</v>
      </c>
      <c r="AJ19" s="405">
        <f>Feed!$O$15*1000/12</f>
        <v>8715.966666666669</v>
      </c>
      <c r="AK19" s="405">
        <f>Feed!$O$15*1000/12</f>
        <v>8715.966666666669</v>
      </c>
      <c r="AL19" s="405">
        <f>Feed!$O$15*1000/12</f>
        <v>8715.966666666669</v>
      </c>
      <c r="AM19" s="405">
        <f>Feed!$O$15*1000/12</f>
        <v>8715.966666666669</v>
      </c>
      <c r="AN19" s="405">
        <f>Feed!$O$15*1000/12</f>
        <v>8715.966666666669</v>
      </c>
      <c r="AO19" s="405">
        <f>Feed!$O$15*1000/12</f>
        <v>8715.966666666669</v>
      </c>
      <c r="AP19" s="405">
        <f>Feed!$O$15*1000/12</f>
        <v>8715.966666666669</v>
      </c>
      <c r="AQ19" s="405">
        <f>Feed!$O$15*1000/12</f>
        <v>8715.966666666669</v>
      </c>
      <c r="AR19" s="405">
        <f>Feed!$O$15*1000/12</f>
        <v>8715.966666666669</v>
      </c>
      <c r="AS19" s="405">
        <f>Feed!$O$15*1000/12</f>
        <v>8715.966666666669</v>
      </c>
      <c r="AT19" s="405">
        <f>Feed!$O$15*1000/12</f>
        <v>8715.966666666669</v>
      </c>
      <c r="AU19" s="405">
        <f>Feed!$O$15*1000/12</f>
        <v>8715.966666666669</v>
      </c>
      <c r="AV19" s="405">
        <f>Feed!$O$15*1000/12</f>
        <v>8715.966666666669</v>
      </c>
      <c r="AW19" s="405">
        <f>Feed!$O$15*1000/12</f>
        <v>8715.966666666669</v>
      </c>
      <c r="AX19" s="405">
        <f>Feed!$O$15*1000/12</f>
        <v>8715.966666666669</v>
      </c>
      <c r="AY19" s="405">
        <f>Feed!$O$15*1000/12</f>
        <v>8715.966666666669</v>
      </c>
      <c r="AZ19" s="405">
        <f>Feed!$O$15*1000/12</f>
        <v>8715.966666666669</v>
      </c>
      <c r="BA19" s="405">
        <f>Feed!$O$15*1000/12</f>
        <v>8715.966666666669</v>
      </c>
      <c r="BB19" s="405">
        <f>Feed!$O$15*1000/12</f>
        <v>8715.966666666669</v>
      </c>
      <c r="BC19" s="405">
        <f>Feed!$O$15*1000/12</f>
        <v>8715.966666666669</v>
      </c>
      <c r="BD19" s="405">
        <f>Feed!$O$15*1000/12</f>
        <v>8715.966666666669</v>
      </c>
      <c r="BE19" s="405">
        <f>Feed!$O$15*1000/12</f>
        <v>8715.966666666669</v>
      </c>
      <c r="BF19" s="405">
        <f>Feed!$O$15*1000/12</f>
        <v>8715.966666666669</v>
      </c>
      <c r="BG19" s="405">
        <f>Feed!$O$15*1000/12</f>
        <v>8715.966666666669</v>
      </c>
      <c r="BH19" s="405">
        <f>Feed!$O$15*1000/12</f>
        <v>8715.966666666669</v>
      </c>
      <c r="BI19" s="405">
        <f>Feed!$O$15*1000/12</f>
        <v>8715.966666666669</v>
      </c>
      <c r="BJ19" s="405">
        <f>Feed!$O$15*1000/12</f>
        <v>8715.966666666669</v>
      </c>
      <c r="BK19" s="405">
        <f>Feed!$O$15*1000/12</f>
        <v>8715.966666666669</v>
      </c>
      <c r="BL19" s="405">
        <f>Feed!$O$15*1000/12</f>
        <v>8715.966666666669</v>
      </c>
      <c r="BM19" s="405">
        <f>Feed!$O$15*1000/12</f>
        <v>8715.966666666669</v>
      </c>
      <c r="BN19" s="405">
        <f>Feed!$O$15*1000/12</f>
        <v>8715.966666666669</v>
      </c>
      <c r="BO19" s="405">
        <f>Feed!$O$15*1000/12</f>
        <v>8715.966666666669</v>
      </c>
      <c r="BP19" s="405">
        <f>Feed!$O$15*1000/12</f>
        <v>8715.966666666669</v>
      </c>
      <c r="BQ19" s="405">
        <f>Feed!$O$15*1000/12</f>
        <v>8715.966666666669</v>
      </c>
      <c r="BR19" s="405">
        <f>Feed!$O$15*1000/12</f>
        <v>8715.966666666669</v>
      </c>
      <c r="BS19" s="405">
        <f>Feed!$O$15*1000/12</f>
        <v>8715.966666666669</v>
      </c>
      <c r="BT19" s="405">
        <f>Feed!$O$15*1000/12</f>
        <v>8715.966666666669</v>
      </c>
      <c r="BU19" s="405">
        <f>Feed!$O$15*1000/12</f>
        <v>8715.966666666669</v>
      </c>
      <c r="BV19" s="405">
        <f>Feed!$O$15*1000/12</f>
        <v>8715.966666666669</v>
      </c>
      <c r="BW19" s="405">
        <f>Feed!$O$15*1000/12</f>
        <v>8715.966666666669</v>
      </c>
      <c r="BX19" s="405">
        <f>Feed!$O$15*1000/12</f>
        <v>8715.966666666669</v>
      </c>
      <c r="BY19" s="405">
        <f>Feed!$O$15*1000/12</f>
        <v>8715.966666666669</v>
      </c>
      <c r="BZ19" s="405">
        <f>Feed!$O$15*1000/12</f>
        <v>8715.966666666669</v>
      </c>
      <c r="CA19" s="405">
        <f>Feed!$O$15*1000/12</f>
        <v>8715.966666666669</v>
      </c>
      <c r="CB19" s="405">
        <f>Feed!$O$15*1000/12</f>
        <v>8715.966666666669</v>
      </c>
      <c r="CC19" s="405">
        <f>Feed!$O$15*1000/12</f>
        <v>8715.966666666669</v>
      </c>
      <c r="CD19" s="405">
        <f>Feed!$O$15*1000/12</f>
        <v>8715.966666666669</v>
      </c>
      <c r="CE19" s="405">
        <f>Feed!$O$15*1000/12</f>
        <v>8715.966666666669</v>
      </c>
      <c r="CF19" s="405">
        <f>Feed!$O$15*1000/12</f>
        <v>8715.966666666669</v>
      </c>
      <c r="CG19" s="405">
        <f>Feed!$O$15*1000/12</f>
        <v>8715.966666666669</v>
      </c>
      <c r="CH19" s="405">
        <f>Feed!$O$15*1000/12</f>
        <v>8715.966666666669</v>
      </c>
      <c r="CI19" s="405">
        <f>Feed!$O$15*1000/12</f>
        <v>8715.966666666669</v>
      </c>
      <c r="CJ19" s="405">
        <f>Feed!$O$15*1000/12</f>
        <v>8715.966666666669</v>
      </c>
      <c r="CK19" s="405">
        <f>Feed!$O$15*1000/12</f>
        <v>8715.966666666669</v>
      </c>
      <c r="CL19" s="405">
        <f>Feed!$O$15*1000/12</f>
        <v>8715.966666666669</v>
      </c>
      <c r="CM19" s="405">
        <f t="shared" si="1"/>
        <v>8715.9666666666726</v>
      </c>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c r="EB19" s="58"/>
      <c r="EC19" s="58"/>
      <c r="ED19" s="58"/>
      <c r="EE19" s="58"/>
      <c r="EF19" s="58"/>
      <c r="EG19" s="58"/>
      <c r="EH19" s="58"/>
      <c r="EI19" s="58"/>
      <c r="EJ19" s="58"/>
      <c r="EK19" s="58"/>
      <c r="EL19" s="58"/>
      <c r="EM19" s="58"/>
      <c r="EN19" s="58"/>
      <c r="EO19" s="58"/>
      <c r="EP19" s="58"/>
      <c r="EQ19" s="58"/>
      <c r="ER19" s="58"/>
      <c r="ES19" s="58"/>
      <c r="ET19" s="58"/>
      <c r="EU19" s="58"/>
      <c r="EV19" s="58"/>
      <c r="EW19" s="58"/>
      <c r="EX19" s="58"/>
      <c r="EY19" s="58"/>
      <c r="EZ19" s="58"/>
      <c r="FA19" s="58"/>
      <c r="FB19" s="58"/>
      <c r="FC19" s="58"/>
      <c r="FD19" s="58"/>
      <c r="FE19" s="58"/>
      <c r="FF19" s="58"/>
      <c r="FG19" s="58"/>
      <c r="FH19" s="58"/>
      <c r="FI19" s="58"/>
      <c r="FJ19" s="58"/>
      <c r="FK19" s="58"/>
      <c r="FL19" s="58"/>
      <c r="FM19" s="58"/>
      <c r="FN19" s="58"/>
      <c r="FO19" s="58"/>
      <c r="FP19" s="58"/>
      <c r="FQ19" s="58"/>
      <c r="FR19" s="58"/>
      <c r="FS19" s="58"/>
      <c r="FT19" s="58"/>
      <c r="FU19" s="58"/>
      <c r="FV19" s="58"/>
    </row>
    <row r="20" spans="1:178">
      <c r="A20" s="1068"/>
      <c r="B20" s="2" t="s">
        <v>312</v>
      </c>
      <c r="C20" s="362" t="s">
        <v>313</v>
      </c>
      <c r="D20" s="362"/>
      <c r="E20" s="1071"/>
      <c r="F20" s="404" t="str">
        <f>F9</f>
        <v xml:space="preserve"> Hydrogenated Pygas (HPG) </v>
      </c>
      <c r="G20" s="405">
        <f>G12*'Cracker Yields'!$H$9+'Financial Model High Ethane'!G13*'Cracker Yields'!$I$9+'Financial Model High Ethane'!G14*'Cracker Yields'!$J$9+'Financial Model High Ethane'!G15*'Cracker Yields'!$K$9</f>
        <v>9845.7479999999996</v>
      </c>
      <c r="H20" s="405">
        <f>H12*'Cracker Yields'!$H$9+'Financial Model High Ethane'!H13*'Cracker Yields'!$I$9+'Financial Model High Ethane'!H14*'Cracker Yields'!$J$9+'Financial Model High Ethane'!H15*'Cracker Yields'!$K$9</f>
        <v>9845.7479999999996</v>
      </c>
      <c r="I20" s="405">
        <f>I12*'Cracker Yields'!$H$9+'Financial Model High Ethane'!I13*'Cracker Yields'!$I$9+'Financial Model High Ethane'!I14*'Cracker Yields'!$J$9+'Financial Model High Ethane'!I15*'Cracker Yields'!$K$9</f>
        <v>9845.7479999999996</v>
      </c>
      <c r="J20" s="405">
        <f>J12*'Cracker Yields'!$H$9+'Financial Model High Ethane'!J13*'Cracker Yields'!$I$9+'Financial Model High Ethane'!J14*'Cracker Yields'!$J$9+'Financial Model High Ethane'!J15*'Cracker Yields'!$K$9</f>
        <v>9845.7479999999996</v>
      </c>
      <c r="K20" s="405">
        <f>K12*'Cracker Yields'!$H$9+'Financial Model High Ethane'!K13*'Cracker Yields'!$I$9+'Financial Model High Ethane'!K14*'Cracker Yields'!$J$9+'Financial Model High Ethane'!K15*'Cracker Yields'!$K$9</f>
        <v>9845.7479999999996</v>
      </c>
      <c r="L20" s="405">
        <f>L12*'Cracker Yields'!$H$9+'Financial Model High Ethane'!L13*'Cracker Yields'!$I$9+'Financial Model High Ethane'!L14*'Cracker Yields'!$J$9+'Financial Model High Ethane'!L15*'Cracker Yields'!$K$9</f>
        <v>9845.7479999999996</v>
      </c>
      <c r="M20" s="405">
        <f>M12*'Cracker Yields'!$H$9+'Financial Model High Ethane'!M13*'Cracker Yields'!$I$9+'Financial Model High Ethane'!M14*'Cracker Yields'!$J$9+'Financial Model High Ethane'!M15*'Cracker Yields'!$K$9</f>
        <v>9845.7479999999996</v>
      </c>
      <c r="N20" s="405">
        <f>N12*'Cracker Yields'!$H$9+'Financial Model High Ethane'!N13*'Cracker Yields'!$I$9+'Financial Model High Ethane'!N14*'Cracker Yields'!$J$9+'Financial Model High Ethane'!N15*'Cracker Yields'!$K$9</f>
        <v>9845.7479999999996</v>
      </c>
      <c r="O20" s="405">
        <f>O12*'Cracker Yields'!$H$9+'Financial Model High Ethane'!O13*'Cracker Yields'!$I$9+'Financial Model High Ethane'!O14*'Cracker Yields'!$J$9+'Financial Model High Ethane'!O15*'Cracker Yields'!$K$9</f>
        <v>9845.7479999999996</v>
      </c>
      <c r="P20" s="405">
        <f>P12*'Cracker Yields'!$H$9+'Financial Model High Ethane'!P13*'Cracker Yields'!$I$9+'Financial Model High Ethane'!P14*'Cracker Yields'!$J$9+'Financial Model High Ethane'!P15*'Cracker Yields'!$K$9</f>
        <v>9845.7479999999996</v>
      </c>
      <c r="Q20" s="405">
        <f>Q12*'Cracker Yields'!$H$9+'Financial Model High Ethane'!Q13*'Cracker Yields'!$I$9+'Financial Model High Ethane'!Q14*'Cracker Yields'!$J$9+'Financial Model High Ethane'!Q15*'Cracker Yields'!$K$9</f>
        <v>9845.7479999999996</v>
      </c>
      <c r="R20" s="405">
        <f>R12*'Cracker Yields'!$H$9+'Financial Model High Ethane'!R13*'Cracker Yields'!$I$9+'Financial Model High Ethane'!R14*'Cracker Yields'!$J$9+'Financial Model High Ethane'!R15*'Cracker Yields'!$K$9</f>
        <v>9845.7479999999996</v>
      </c>
      <c r="S20" s="405">
        <f>S12*'Cracker Yields'!$H$9+'Financial Model High Ethane'!S13*'Cracker Yields'!$I$9+'Financial Model High Ethane'!S14*'Cracker Yields'!$J$9+'Financial Model High Ethane'!S15*'Cracker Yields'!$K$9</f>
        <v>9845.7479999999996</v>
      </c>
      <c r="T20" s="405">
        <f>T12*'Cracker Yields'!$H$9+'Financial Model High Ethane'!T13*'Cracker Yields'!$I$9+'Financial Model High Ethane'!T14*'Cracker Yields'!$J$9+'Financial Model High Ethane'!T15*'Cracker Yields'!$K$9</f>
        <v>9845.7479999999996</v>
      </c>
      <c r="U20" s="406">
        <f>U12*'Cracker Yields'!$H$9+'Financial Model High Ethane'!U13*'Cracker Yields'!$I$9+'Financial Model High Ethane'!U14*'Cracker Yields'!$J$9+'Financial Model High Ethane'!U15*'Cracker Yields'!$K$9</f>
        <v>9845.7479999999996</v>
      </c>
      <c r="V20" s="405">
        <f>V12*'Cracker Yields'!$H$9+'Financial Model High Ethane'!V13*'Cracker Yields'!$I$9+'Financial Model High Ethane'!V14*'Cracker Yields'!$J$9+'Financial Model High Ethane'!V15*'Cracker Yields'!$K$9</f>
        <v>9845.7479999999996</v>
      </c>
      <c r="W20" s="405">
        <f>W12*'Cracker Yields'!$H$9+'Financial Model High Ethane'!W13*'Cracker Yields'!$I$9+'Financial Model High Ethane'!W14*'Cracker Yields'!$J$9+'Financial Model High Ethane'!W15*'Cracker Yields'!$K$9</f>
        <v>9845.7479999999996</v>
      </c>
      <c r="X20" s="405">
        <f>X12*'Cracker Yields'!$H$9+'Financial Model High Ethane'!X13*'Cracker Yields'!$I$9+'Financial Model High Ethane'!X14*'Cracker Yields'!$J$9+'Financial Model High Ethane'!X15*'Cracker Yields'!$K$9</f>
        <v>9845.7479999999996</v>
      </c>
      <c r="Y20" s="405">
        <f>Y12*'Cracker Yields'!$H$9+'Financial Model High Ethane'!Y13*'Cracker Yields'!$I$9+'Financial Model High Ethane'!Y14*'Cracker Yields'!$J$9+'Financial Model High Ethane'!Y15*'Cracker Yields'!$K$9</f>
        <v>9845.7479999999996</v>
      </c>
      <c r="Z20" s="405">
        <f>Z12*'Cracker Yields'!$H$9+'Financial Model High Ethane'!Z13*'Cracker Yields'!$I$9+'Financial Model High Ethane'!Z14*'Cracker Yields'!$J$9+'Financial Model High Ethane'!Z15*'Cracker Yields'!$K$9</f>
        <v>9845.7479999999996</v>
      </c>
      <c r="AA20" s="405">
        <f>AA12*'Cracker Yields'!$H$9+'Financial Model High Ethane'!AA13*'Cracker Yields'!$I$9+'Financial Model High Ethane'!AA14*'Cracker Yields'!$J$9+'Financial Model High Ethane'!AA15*'Cracker Yields'!$K$9</f>
        <v>9845.7479999999996</v>
      </c>
      <c r="AB20" s="405">
        <f>AB12*'Cracker Yields'!$H$9+'Financial Model High Ethane'!AB13*'Cracker Yields'!$I$9+'Financial Model High Ethane'!AB14*'Cracker Yields'!$J$9+'Financial Model High Ethane'!AB15*'Cracker Yields'!$K$9</f>
        <v>9845.7479999999996</v>
      </c>
      <c r="AC20" s="405">
        <f>AC12*'Cracker Yields'!$H$9+'Financial Model High Ethane'!AC13*'Cracker Yields'!$I$9+'Financial Model High Ethane'!AC14*'Cracker Yields'!$J$9+'Financial Model High Ethane'!AC15*'Cracker Yields'!$K$9</f>
        <v>9845.7479999999996</v>
      </c>
      <c r="AD20" s="405">
        <f>AD12*'Cracker Yields'!$H$9+'Financial Model High Ethane'!AD13*'Cracker Yields'!$I$9+'Financial Model High Ethane'!AD14*'Cracker Yields'!$J$9+'Financial Model High Ethane'!AD15*'Cracker Yields'!$K$9</f>
        <v>9845.7479999999996</v>
      </c>
      <c r="AE20" s="405">
        <f>AE12*'Cracker Yields'!$H$9+'Financial Model High Ethane'!AE13*'Cracker Yields'!$I$9+'Financial Model High Ethane'!AE14*'Cracker Yields'!$J$9+'Financial Model High Ethane'!AE15*'Cracker Yields'!$K$9</f>
        <v>9845.7479999999996</v>
      </c>
      <c r="AF20" s="405">
        <f>AF12*'Cracker Yields'!$H$9+'Financial Model High Ethane'!AF13*'Cracker Yields'!$I$9+'Financial Model High Ethane'!AF14*'Cracker Yields'!$J$9+'Financial Model High Ethane'!AF15*'Cracker Yields'!$K$9</f>
        <v>9845.7479999999996</v>
      </c>
      <c r="AG20" s="405">
        <f>AG12*'Cracker Yields'!$H$9+'Financial Model High Ethane'!AG13*'Cracker Yields'!$I$9+'Financial Model High Ethane'!AG14*'Cracker Yields'!$J$9+'Financial Model High Ethane'!AG15*'Cracker Yields'!$K$9</f>
        <v>9845.7479999999996</v>
      </c>
      <c r="AH20" s="405">
        <f>AH12*'Cracker Yields'!$H$9+'Financial Model High Ethane'!AH13*'Cracker Yields'!$I$9+'Financial Model High Ethane'!AH14*'Cracker Yields'!$J$9+'Financial Model High Ethane'!AH15*'Cracker Yields'!$K$9</f>
        <v>9845.7479999999996</v>
      </c>
      <c r="AI20" s="405">
        <f>AI12*'Cracker Yields'!$H$9+'Financial Model High Ethane'!AI13*'Cracker Yields'!$I$9+'Financial Model High Ethane'!AI14*'Cracker Yields'!$J$9+'Financial Model High Ethane'!AI15*'Cracker Yields'!$K$9</f>
        <v>9845.7479999999996</v>
      </c>
      <c r="AJ20" s="405">
        <f>AJ12*'Cracker Yields'!$H$9+'Financial Model High Ethane'!AJ13*'Cracker Yields'!$I$9+'Financial Model High Ethane'!AJ14*'Cracker Yields'!$J$9+'Financial Model High Ethane'!AJ15*'Cracker Yields'!$K$9</f>
        <v>9845.7479999999996</v>
      </c>
      <c r="AK20" s="405">
        <f>AK12*'Cracker Yields'!$H$9+'Financial Model High Ethane'!AK13*'Cracker Yields'!$I$9+'Financial Model High Ethane'!AK14*'Cracker Yields'!$J$9+'Financial Model High Ethane'!AK15*'Cracker Yields'!$K$9</f>
        <v>9845.7479999999996</v>
      </c>
      <c r="AL20" s="405">
        <f>AL12*'Cracker Yields'!$H$9+'Financial Model High Ethane'!AL13*'Cracker Yields'!$I$9+'Financial Model High Ethane'!AL14*'Cracker Yields'!$J$9+'Financial Model High Ethane'!AL15*'Cracker Yields'!$K$9</f>
        <v>9845.7479999999996</v>
      </c>
      <c r="AM20" s="405">
        <f>AM12*'Cracker Yields'!$H$9+'Financial Model High Ethane'!AM13*'Cracker Yields'!$I$9+'Financial Model High Ethane'!AM14*'Cracker Yields'!$J$9+'Financial Model High Ethane'!AM15*'Cracker Yields'!$K$9</f>
        <v>9845.7479999999996</v>
      </c>
      <c r="AN20" s="405">
        <f>AN12*'Cracker Yields'!$H$9+'Financial Model High Ethane'!AN13*'Cracker Yields'!$I$9+'Financial Model High Ethane'!AN14*'Cracker Yields'!$J$9+'Financial Model High Ethane'!AN15*'Cracker Yields'!$K$9</f>
        <v>9845.7479999999996</v>
      </c>
      <c r="AO20" s="405">
        <f>AO12*'Cracker Yields'!$H$9+'Financial Model High Ethane'!AO13*'Cracker Yields'!$I$9+'Financial Model High Ethane'!AO14*'Cracker Yields'!$J$9+'Financial Model High Ethane'!AO15*'Cracker Yields'!$K$9</f>
        <v>9845.7479999999996</v>
      </c>
      <c r="AP20" s="405">
        <f>AP12*'Cracker Yields'!$H$9+'Financial Model High Ethane'!AP13*'Cracker Yields'!$I$9+'Financial Model High Ethane'!AP14*'Cracker Yields'!$J$9+'Financial Model High Ethane'!AP15*'Cracker Yields'!$K$9</f>
        <v>9845.7479999999996</v>
      </c>
      <c r="AQ20" s="405">
        <f>AQ12*'Cracker Yields'!$H$9+'Financial Model High Ethane'!AQ13*'Cracker Yields'!$I$9+'Financial Model High Ethane'!AQ14*'Cracker Yields'!$J$9+'Financial Model High Ethane'!AQ15*'Cracker Yields'!$K$9</f>
        <v>9845.7479999999996</v>
      </c>
      <c r="AR20" s="405">
        <f>AR12*'Cracker Yields'!$H$9+'Financial Model High Ethane'!AR13*'Cracker Yields'!$I$9+'Financial Model High Ethane'!AR14*'Cracker Yields'!$J$9+'Financial Model High Ethane'!AR15*'Cracker Yields'!$K$9</f>
        <v>9845.7479999999996</v>
      </c>
      <c r="AS20" s="405">
        <f>AS12*'Cracker Yields'!$H$9+'Financial Model High Ethane'!AS13*'Cracker Yields'!$I$9+'Financial Model High Ethane'!AS14*'Cracker Yields'!$J$9+'Financial Model High Ethane'!AS15*'Cracker Yields'!$K$9</f>
        <v>9845.7479999999996</v>
      </c>
      <c r="AT20" s="405">
        <f>AT12*'Cracker Yields'!$H$9+'Financial Model High Ethane'!AT13*'Cracker Yields'!$I$9+'Financial Model High Ethane'!AT14*'Cracker Yields'!$J$9+'Financial Model High Ethane'!AT15*'Cracker Yields'!$K$9</f>
        <v>9845.7479999999996</v>
      </c>
      <c r="AU20" s="405">
        <f>AU12*'Cracker Yields'!$H$9+'Financial Model High Ethane'!AU13*'Cracker Yields'!$I$9+'Financial Model High Ethane'!AU14*'Cracker Yields'!$J$9+'Financial Model High Ethane'!AU15*'Cracker Yields'!$K$9</f>
        <v>9845.7479999999996</v>
      </c>
      <c r="AV20" s="405">
        <f>AV12*'Cracker Yields'!$H$9+'Financial Model High Ethane'!AV13*'Cracker Yields'!$I$9+'Financial Model High Ethane'!AV14*'Cracker Yields'!$J$9+'Financial Model High Ethane'!AV15*'Cracker Yields'!$K$9</f>
        <v>9845.7479999999996</v>
      </c>
      <c r="AW20" s="405">
        <f>AW12*'Cracker Yields'!$H$9+'Financial Model High Ethane'!AW13*'Cracker Yields'!$I$9+'Financial Model High Ethane'!AW14*'Cracker Yields'!$J$9+'Financial Model High Ethane'!AW15*'Cracker Yields'!$K$9</f>
        <v>9845.7479999999996</v>
      </c>
      <c r="AX20" s="405">
        <f>AX12*'Cracker Yields'!$H$9+'Financial Model High Ethane'!AX13*'Cracker Yields'!$I$9+'Financial Model High Ethane'!AX14*'Cracker Yields'!$J$9+'Financial Model High Ethane'!AX15*'Cracker Yields'!$K$9</f>
        <v>9845.7479999999996</v>
      </c>
      <c r="AY20" s="405">
        <f>AY12*'Cracker Yields'!$H$9+'Financial Model High Ethane'!AY13*'Cracker Yields'!$I$9+'Financial Model High Ethane'!AY14*'Cracker Yields'!$J$9+'Financial Model High Ethane'!AY15*'Cracker Yields'!$K$9</f>
        <v>9845.7479999999996</v>
      </c>
      <c r="AZ20" s="406">
        <f>AZ12*'Cracker Yields'!$H$9+'Financial Model High Ethane'!AZ13*'Cracker Yields'!$I$9+'Financial Model High Ethane'!AZ14*'Cracker Yields'!$J$9+'Financial Model High Ethane'!AZ15*'Cracker Yields'!$K$9</f>
        <v>9845.7479999999996</v>
      </c>
      <c r="BA20" s="405">
        <f>BA12*'Cracker Yields'!$H$9+'Financial Model High Ethane'!BA13*'Cracker Yields'!$I$9+'Financial Model High Ethane'!BA14*'Cracker Yields'!$J$9+'Financial Model High Ethane'!BA15*'Cracker Yields'!$K$9</f>
        <v>9845.7479999999996</v>
      </c>
      <c r="BB20" s="405">
        <f>BB12*'Cracker Yields'!$H$9+'Financial Model High Ethane'!BB13*'Cracker Yields'!$I$9+'Financial Model High Ethane'!BB14*'Cracker Yields'!$J$9+'Financial Model High Ethane'!BB15*'Cracker Yields'!$K$9</f>
        <v>9845.7479999999996</v>
      </c>
      <c r="BC20" s="405">
        <f>BC12*'Cracker Yields'!$H$9+'Financial Model High Ethane'!BC13*'Cracker Yields'!$I$9+'Financial Model High Ethane'!BC14*'Cracker Yields'!$J$9+'Financial Model High Ethane'!BC15*'Cracker Yields'!$K$9</f>
        <v>9845.7479999999996</v>
      </c>
      <c r="BD20" s="405">
        <f>BD12*'Cracker Yields'!$H$9+'Financial Model High Ethane'!BD13*'Cracker Yields'!$I$9+'Financial Model High Ethane'!BD14*'Cracker Yields'!$J$9+'Financial Model High Ethane'!BD15*'Cracker Yields'!$K$9</f>
        <v>9845.7479999999996</v>
      </c>
      <c r="BE20" s="405">
        <f>BE12*'Cracker Yields'!$H$9+'Financial Model High Ethane'!BE13*'Cracker Yields'!$I$9+'Financial Model High Ethane'!BE14*'Cracker Yields'!$J$9+'Financial Model High Ethane'!BE15*'Cracker Yields'!$K$9</f>
        <v>9845.7479999999996</v>
      </c>
      <c r="BF20" s="405">
        <f>BF12*'Cracker Yields'!$H$9+'Financial Model High Ethane'!BF13*'Cracker Yields'!$I$9+'Financial Model High Ethane'!BF14*'Cracker Yields'!$J$9+'Financial Model High Ethane'!BF15*'Cracker Yields'!$K$9</f>
        <v>9845.7479999999996</v>
      </c>
      <c r="BG20" s="405">
        <f>BG12*'Cracker Yields'!$H$9+'Financial Model High Ethane'!BG13*'Cracker Yields'!$I$9+'Financial Model High Ethane'!BG14*'Cracker Yields'!$J$9+'Financial Model High Ethane'!BG15*'Cracker Yields'!$K$9</f>
        <v>9845.7479999999996</v>
      </c>
      <c r="BH20" s="405">
        <f>BH12*'Cracker Yields'!$H$9+'Financial Model High Ethane'!BH13*'Cracker Yields'!$I$9+'Financial Model High Ethane'!BH14*'Cracker Yields'!$J$9+'Financial Model High Ethane'!BH15*'Cracker Yields'!$K$9</f>
        <v>9845.7479999999996</v>
      </c>
      <c r="BI20" s="405">
        <f>BI12*'Cracker Yields'!$H$9+'Financial Model High Ethane'!BI13*'Cracker Yields'!$I$9+'Financial Model High Ethane'!BI14*'Cracker Yields'!$J$9+'Financial Model High Ethane'!BI15*'Cracker Yields'!$K$9</f>
        <v>9845.7479999999996</v>
      </c>
      <c r="BJ20" s="405">
        <f>BJ12*'Cracker Yields'!$H$9+'Financial Model High Ethane'!BJ13*'Cracker Yields'!$I$9+'Financial Model High Ethane'!BJ14*'Cracker Yields'!$J$9+'Financial Model High Ethane'!BJ15*'Cracker Yields'!$K$9</f>
        <v>9845.7479999999996</v>
      </c>
      <c r="BK20" s="405">
        <f>BK12*'Cracker Yields'!$H$9+'Financial Model High Ethane'!BK13*'Cracker Yields'!$I$9+'Financial Model High Ethane'!BK14*'Cracker Yields'!$J$9+'Financial Model High Ethane'!BK15*'Cracker Yields'!$K$9</f>
        <v>9845.7479999999996</v>
      </c>
      <c r="BL20" s="405">
        <f>BL12*'Cracker Yields'!$H$9+'Financial Model High Ethane'!BL13*'Cracker Yields'!$I$9+'Financial Model High Ethane'!BL14*'Cracker Yields'!$J$9+'Financial Model High Ethane'!BL15*'Cracker Yields'!$K$9</f>
        <v>9845.7479999999996</v>
      </c>
      <c r="BM20" s="405">
        <f>BM12*'Cracker Yields'!$H$9+'Financial Model High Ethane'!BM13*'Cracker Yields'!$I$9+'Financial Model High Ethane'!BM14*'Cracker Yields'!$J$9+'Financial Model High Ethane'!BM15*'Cracker Yields'!$K$9</f>
        <v>9845.7479999999996</v>
      </c>
      <c r="BN20" s="405">
        <f>BN12*'Cracker Yields'!$H$9+'Financial Model High Ethane'!BN13*'Cracker Yields'!$I$9+'Financial Model High Ethane'!BN14*'Cracker Yields'!$J$9+'Financial Model High Ethane'!BN15*'Cracker Yields'!$K$9</f>
        <v>9845.7479999999996</v>
      </c>
      <c r="BO20" s="405">
        <f>BO12*'Cracker Yields'!$H$9+'Financial Model High Ethane'!BO13*'Cracker Yields'!$I$9+'Financial Model High Ethane'!BO14*'Cracker Yields'!$J$9+'Financial Model High Ethane'!BO15*'Cracker Yields'!$K$9</f>
        <v>9845.7479999999996</v>
      </c>
      <c r="BP20" s="405">
        <f>BP12*'Cracker Yields'!$H$9+'Financial Model High Ethane'!BP13*'Cracker Yields'!$I$9+'Financial Model High Ethane'!BP14*'Cracker Yields'!$J$9+'Financial Model High Ethane'!BP15*'Cracker Yields'!$K$9</f>
        <v>9845.7479999999996</v>
      </c>
      <c r="BQ20" s="405">
        <f>BQ12*'Cracker Yields'!$H$9+'Financial Model High Ethane'!BQ13*'Cracker Yields'!$I$9+'Financial Model High Ethane'!BQ14*'Cracker Yields'!$J$9+'Financial Model High Ethane'!BQ15*'Cracker Yields'!$K$9</f>
        <v>9845.7479999999996</v>
      </c>
      <c r="BR20" s="405">
        <f>BR12*'Cracker Yields'!$H$9+'Financial Model High Ethane'!BR13*'Cracker Yields'!$I$9+'Financial Model High Ethane'!BR14*'Cracker Yields'!$J$9+'Financial Model High Ethane'!BR15*'Cracker Yields'!$K$9</f>
        <v>9845.7479999999996</v>
      </c>
      <c r="BS20" s="405">
        <f>BS12*'Cracker Yields'!$H$9+'Financial Model High Ethane'!BS13*'Cracker Yields'!$I$9+'Financial Model High Ethane'!BS14*'Cracker Yields'!$J$9+'Financial Model High Ethane'!BS15*'Cracker Yields'!$K$9</f>
        <v>9845.7479999999996</v>
      </c>
      <c r="BT20" s="405">
        <f>BT12*'Cracker Yields'!$H$9+'Financial Model High Ethane'!BT13*'Cracker Yields'!$I$9+'Financial Model High Ethane'!BT14*'Cracker Yields'!$J$9+'Financial Model High Ethane'!BT15*'Cracker Yields'!$K$9</f>
        <v>9845.7479999999996</v>
      </c>
      <c r="BU20" s="405">
        <f>BU12*'Cracker Yields'!$H$9+'Financial Model High Ethane'!BU13*'Cracker Yields'!$I$9+'Financial Model High Ethane'!BU14*'Cracker Yields'!$J$9+'Financial Model High Ethane'!BU15*'Cracker Yields'!$K$9</f>
        <v>9845.7479999999996</v>
      </c>
      <c r="BV20" s="405">
        <f>BV12*'Cracker Yields'!$H$9+'Financial Model High Ethane'!BV13*'Cracker Yields'!$I$9+'Financial Model High Ethane'!BV14*'Cracker Yields'!$J$9+'Financial Model High Ethane'!BV15*'Cracker Yields'!$K$9</f>
        <v>9845.7479999999996</v>
      </c>
      <c r="BW20" s="405">
        <f>BW12*'Cracker Yields'!$H$9+'Financial Model High Ethane'!BW13*'Cracker Yields'!$I$9+'Financial Model High Ethane'!BW14*'Cracker Yields'!$J$9+'Financial Model High Ethane'!BW15*'Cracker Yields'!$K$9</f>
        <v>9845.7479999999996</v>
      </c>
      <c r="BX20" s="405">
        <f>BX12*'Cracker Yields'!$H$9+'Financial Model High Ethane'!BX13*'Cracker Yields'!$I$9+'Financial Model High Ethane'!BX14*'Cracker Yields'!$J$9+'Financial Model High Ethane'!BX15*'Cracker Yields'!$K$9</f>
        <v>9845.7479999999996</v>
      </c>
      <c r="BY20" s="405">
        <f>BY12*'Cracker Yields'!$H$9+'Financial Model High Ethane'!BY13*'Cracker Yields'!$I$9+'Financial Model High Ethane'!BY14*'Cracker Yields'!$J$9+'Financial Model High Ethane'!BY15*'Cracker Yields'!$K$9</f>
        <v>9845.7479999999996</v>
      </c>
      <c r="BZ20" s="405">
        <f>BZ12*'Cracker Yields'!$H$9+'Financial Model High Ethane'!BZ13*'Cracker Yields'!$I$9+'Financial Model High Ethane'!BZ14*'Cracker Yields'!$J$9+'Financial Model High Ethane'!BZ15*'Cracker Yields'!$K$9</f>
        <v>9845.7479999999996</v>
      </c>
      <c r="CA20" s="405">
        <f>CA12*'Cracker Yields'!$H$9+'Financial Model High Ethane'!CA13*'Cracker Yields'!$I$9+'Financial Model High Ethane'!CA14*'Cracker Yields'!$J$9+'Financial Model High Ethane'!CA15*'Cracker Yields'!$K$9</f>
        <v>9845.7479999999996</v>
      </c>
      <c r="CB20" s="405">
        <f>CB12*'Cracker Yields'!$H$9+'Financial Model High Ethane'!CB13*'Cracker Yields'!$I$9+'Financial Model High Ethane'!CB14*'Cracker Yields'!$J$9+'Financial Model High Ethane'!CB15*'Cracker Yields'!$K$9</f>
        <v>9845.7479999999996</v>
      </c>
      <c r="CC20" s="405">
        <f>CC12*'Cracker Yields'!$H$9+'Financial Model High Ethane'!CC13*'Cracker Yields'!$I$9+'Financial Model High Ethane'!CC14*'Cracker Yields'!$J$9+'Financial Model High Ethane'!CC15*'Cracker Yields'!$K$9</f>
        <v>9845.7479999999996</v>
      </c>
      <c r="CD20" s="405">
        <f>CD12*'Cracker Yields'!$H$9+'Financial Model High Ethane'!CD13*'Cracker Yields'!$I$9+'Financial Model High Ethane'!CD14*'Cracker Yields'!$J$9+'Financial Model High Ethane'!CD15*'Cracker Yields'!$K$9</f>
        <v>9845.7479999999996</v>
      </c>
      <c r="CE20" s="405">
        <f>CE12*'Cracker Yields'!$H$9+'Financial Model High Ethane'!CE13*'Cracker Yields'!$I$9+'Financial Model High Ethane'!CE14*'Cracker Yields'!$J$9+'Financial Model High Ethane'!CE15*'Cracker Yields'!$K$9</f>
        <v>9845.7479999999996</v>
      </c>
      <c r="CF20" s="405">
        <f>CF12*'Cracker Yields'!$H$9+'Financial Model High Ethane'!CF13*'Cracker Yields'!$I$9+'Financial Model High Ethane'!CF14*'Cracker Yields'!$J$9+'Financial Model High Ethane'!CF15*'Cracker Yields'!$K$9</f>
        <v>9845.7479999999996</v>
      </c>
      <c r="CG20" s="405">
        <f>CG12*'Cracker Yields'!$H$9+'Financial Model High Ethane'!CG13*'Cracker Yields'!$I$9+'Financial Model High Ethane'!CG14*'Cracker Yields'!$J$9+'Financial Model High Ethane'!CG15*'Cracker Yields'!$K$9</f>
        <v>9845.7479999999996</v>
      </c>
      <c r="CH20" s="405">
        <f>CH12*'Cracker Yields'!$H$9+'Financial Model High Ethane'!CH13*'Cracker Yields'!$I$9+'Financial Model High Ethane'!CH14*'Cracker Yields'!$J$9+'Financial Model High Ethane'!CH15*'Cracker Yields'!$K$9</f>
        <v>9845.7479999999996</v>
      </c>
      <c r="CI20" s="405">
        <f>CI12*'Cracker Yields'!$H$9+'Financial Model High Ethane'!CI13*'Cracker Yields'!$I$9+'Financial Model High Ethane'!CI14*'Cracker Yields'!$J$9+'Financial Model High Ethane'!CI15*'Cracker Yields'!$K$9</f>
        <v>9845.7479999999996</v>
      </c>
      <c r="CJ20" s="405">
        <f>CJ12*'Cracker Yields'!$H$9+'Financial Model High Ethane'!CJ13*'Cracker Yields'!$I$9+'Financial Model High Ethane'!CJ14*'Cracker Yields'!$J$9+'Financial Model High Ethane'!CJ15*'Cracker Yields'!$K$9</f>
        <v>9845.7479999999996</v>
      </c>
      <c r="CK20" s="405">
        <f>CK12*'Cracker Yields'!$H$9+'Financial Model High Ethane'!CK13*'Cracker Yields'!$I$9+'Financial Model High Ethane'!CK14*'Cracker Yields'!$J$9+'Financial Model High Ethane'!CK15*'Cracker Yields'!$K$9</f>
        <v>9845.7479999999996</v>
      </c>
      <c r="CL20" s="405">
        <f>CL12*'Cracker Yields'!$H$9+'Financial Model High Ethane'!CL13*'Cracker Yields'!$I$9+'Financial Model High Ethane'!CL14*'Cracker Yields'!$J$9+'Financial Model High Ethane'!CL15*'Cracker Yields'!$K$9</f>
        <v>9845.7479999999996</v>
      </c>
      <c r="CM20" s="41">
        <f t="shared" si="1"/>
        <v>9845.7480000000123</v>
      </c>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8"/>
      <c r="DY20" s="58"/>
      <c r="DZ20" s="58"/>
      <c r="EA20" s="58"/>
      <c r="EB20" s="58"/>
      <c r="EC20" s="58"/>
      <c r="ED20" s="58"/>
      <c r="EE20" s="58"/>
      <c r="EF20" s="58"/>
      <c r="EG20" s="58"/>
      <c r="EH20" s="58"/>
      <c r="EI20" s="58"/>
      <c r="EJ20" s="58"/>
      <c r="EK20" s="58"/>
      <c r="EL20" s="58"/>
      <c r="EM20" s="58"/>
      <c r="EN20" s="58"/>
      <c r="EO20" s="58"/>
      <c r="EP20" s="58"/>
      <c r="EQ20" s="58"/>
      <c r="ER20" s="58"/>
      <c r="ES20" s="58"/>
      <c r="ET20" s="58"/>
      <c r="EU20" s="58"/>
      <c r="EV20" s="58"/>
      <c r="EW20" s="58"/>
      <c r="EX20" s="58"/>
      <c r="EY20" s="58"/>
      <c r="EZ20" s="58"/>
      <c r="FA20" s="58"/>
      <c r="FB20" s="58"/>
      <c r="FC20" s="58"/>
      <c r="FD20" s="58"/>
      <c r="FE20" s="58"/>
      <c r="FF20" s="58"/>
      <c r="FG20" s="58"/>
      <c r="FH20" s="58"/>
      <c r="FI20" s="58"/>
      <c r="FJ20" s="58"/>
      <c r="FK20" s="58"/>
      <c r="FL20" s="58"/>
      <c r="FM20" s="58"/>
      <c r="FN20" s="58"/>
      <c r="FO20" s="58"/>
      <c r="FP20" s="58"/>
      <c r="FQ20" s="58"/>
      <c r="FR20" s="58"/>
      <c r="FS20" s="58"/>
      <c r="FT20" s="58"/>
      <c r="FU20" s="58"/>
      <c r="FV20" s="58"/>
    </row>
    <row r="21" spans="1:178">
      <c r="A21" s="1068"/>
      <c r="B21" s="2" t="s">
        <v>312</v>
      </c>
      <c r="C21" s="362" t="s">
        <v>313</v>
      </c>
      <c r="D21" s="362"/>
      <c r="E21" s="1071"/>
      <c r="F21" s="404" t="str">
        <f>F10</f>
        <v xml:space="preserve"> CBFS </v>
      </c>
      <c r="G21" s="405">
        <f>G12*'Cracker Yields'!$H$6+'Financial Model High Ethane'!G13*'Cracker Yields'!$I$6+'Financial Model High Ethane'!G14*'Cracker Yields'!$J$6+'Financial Model High Ethane'!G15*'Cracker Yields'!$K$6</f>
        <v>3781.75</v>
      </c>
      <c r="H21" s="405">
        <f>H12*'Cracker Yields'!$H$6+'Financial Model High Ethane'!H13*'Cracker Yields'!$I$6+'Financial Model High Ethane'!H14*'Cracker Yields'!$J$6+'Financial Model High Ethane'!H15*'Cracker Yields'!$K$6</f>
        <v>3781.75</v>
      </c>
      <c r="I21" s="405">
        <f>I12*'Cracker Yields'!$H$6+'Financial Model High Ethane'!I13*'Cracker Yields'!$I$6+'Financial Model High Ethane'!I14*'Cracker Yields'!$J$6+'Financial Model High Ethane'!I15*'Cracker Yields'!$K$6</f>
        <v>3781.75</v>
      </c>
      <c r="J21" s="405">
        <f>J12*'Cracker Yields'!$H$6+'Financial Model High Ethane'!J13*'Cracker Yields'!$I$6+'Financial Model High Ethane'!J14*'Cracker Yields'!$J$6+'Financial Model High Ethane'!J15*'Cracker Yields'!$K$6</f>
        <v>3781.75</v>
      </c>
      <c r="K21" s="405">
        <f>K12*'Cracker Yields'!$H$6+'Financial Model High Ethane'!K13*'Cracker Yields'!$I$6+'Financial Model High Ethane'!K14*'Cracker Yields'!$J$6+'Financial Model High Ethane'!K15*'Cracker Yields'!$K$6</f>
        <v>3781.75</v>
      </c>
      <c r="L21" s="405">
        <f>L12*'Cracker Yields'!$H$6+'Financial Model High Ethane'!L13*'Cracker Yields'!$I$6+'Financial Model High Ethane'!L14*'Cracker Yields'!$J$6+'Financial Model High Ethane'!L15*'Cracker Yields'!$K$6</f>
        <v>3781.75</v>
      </c>
      <c r="M21" s="405">
        <f>M12*'Cracker Yields'!$H$6+'Financial Model High Ethane'!M13*'Cracker Yields'!$I$6+'Financial Model High Ethane'!M14*'Cracker Yields'!$J$6+'Financial Model High Ethane'!M15*'Cracker Yields'!$K$6</f>
        <v>3781.75</v>
      </c>
      <c r="N21" s="405">
        <f>N12*'Cracker Yields'!$H$6+'Financial Model High Ethane'!N13*'Cracker Yields'!$I$6+'Financial Model High Ethane'!N14*'Cracker Yields'!$J$6+'Financial Model High Ethane'!N15*'Cracker Yields'!$K$6</f>
        <v>3781.75</v>
      </c>
      <c r="O21" s="405">
        <f>O12*'Cracker Yields'!$H$6+'Financial Model High Ethane'!O13*'Cracker Yields'!$I$6+'Financial Model High Ethane'!O14*'Cracker Yields'!$J$6+'Financial Model High Ethane'!O15*'Cracker Yields'!$K$6</f>
        <v>3781.75</v>
      </c>
      <c r="P21" s="405">
        <f>P12*'Cracker Yields'!$H$6+'Financial Model High Ethane'!P13*'Cracker Yields'!$I$6+'Financial Model High Ethane'!P14*'Cracker Yields'!$J$6+'Financial Model High Ethane'!P15*'Cracker Yields'!$K$6</f>
        <v>3781.75</v>
      </c>
      <c r="Q21" s="405">
        <f>Q12*'Cracker Yields'!$H$6+'Financial Model High Ethane'!Q13*'Cracker Yields'!$I$6+'Financial Model High Ethane'!Q14*'Cracker Yields'!$J$6+'Financial Model High Ethane'!Q15*'Cracker Yields'!$K$6</f>
        <v>3781.75</v>
      </c>
      <c r="R21" s="405">
        <f>R12*'Cracker Yields'!$H$6+'Financial Model High Ethane'!R13*'Cracker Yields'!$I$6+'Financial Model High Ethane'!R14*'Cracker Yields'!$J$6+'Financial Model High Ethane'!R15*'Cracker Yields'!$K$6</f>
        <v>3781.75</v>
      </c>
      <c r="S21" s="405">
        <f>S12*'Cracker Yields'!$H$6+'Financial Model High Ethane'!S13*'Cracker Yields'!$I$6+'Financial Model High Ethane'!S14*'Cracker Yields'!$J$6+'Financial Model High Ethane'!S15*'Cracker Yields'!$K$6</f>
        <v>3781.75</v>
      </c>
      <c r="T21" s="405">
        <f>T12*'Cracker Yields'!$H$6+'Financial Model High Ethane'!T13*'Cracker Yields'!$I$6+'Financial Model High Ethane'!T14*'Cracker Yields'!$J$6+'Financial Model High Ethane'!T15*'Cracker Yields'!$K$6</f>
        <v>3781.75</v>
      </c>
      <c r="U21" s="406">
        <f>U12*'Cracker Yields'!$H$6+'Financial Model High Ethane'!U13*'Cracker Yields'!$I$6+'Financial Model High Ethane'!U14*'Cracker Yields'!$J$6+'Financial Model High Ethane'!U15*'Cracker Yields'!$K$6</f>
        <v>3781.75</v>
      </c>
      <c r="V21" s="405">
        <f>V12*'Cracker Yields'!$H$6+'Financial Model High Ethane'!V13*'Cracker Yields'!$I$6+'Financial Model High Ethane'!V14*'Cracker Yields'!$J$6+'Financial Model High Ethane'!V15*'Cracker Yields'!$K$6</f>
        <v>3781.75</v>
      </c>
      <c r="W21" s="405">
        <f>W12*'Cracker Yields'!$H$6+'Financial Model High Ethane'!W13*'Cracker Yields'!$I$6+'Financial Model High Ethane'!W14*'Cracker Yields'!$J$6+'Financial Model High Ethane'!W15*'Cracker Yields'!$K$6</f>
        <v>3781.75</v>
      </c>
      <c r="X21" s="405">
        <f>X12*'Cracker Yields'!$H$6+'Financial Model High Ethane'!X13*'Cracker Yields'!$I$6+'Financial Model High Ethane'!X14*'Cracker Yields'!$J$6+'Financial Model High Ethane'!X15*'Cracker Yields'!$K$6</f>
        <v>3781.75</v>
      </c>
      <c r="Y21" s="405">
        <f>Y12*'Cracker Yields'!$H$6+'Financial Model High Ethane'!Y13*'Cracker Yields'!$I$6+'Financial Model High Ethane'!Y14*'Cracker Yields'!$J$6+'Financial Model High Ethane'!Y15*'Cracker Yields'!$K$6</f>
        <v>3781.75</v>
      </c>
      <c r="Z21" s="405">
        <f>Z12*'Cracker Yields'!$H$6+'Financial Model High Ethane'!Z13*'Cracker Yields'!$I$6+'Financial Model High Ethane'!Z14*'Cracker Yields'!$J$6+'Financial Model High Ethane'!Z15*'Cracker Yields'!$K$6</f>
        <v>3781.75</v>
      </c>
      <c r="AA21" s="405">
        <f>AA12*'Cracker Yields'!$H$6+'Financial Model High Ethane'!AA13*'Cracker Yields'!$I$6+'Financial Model High Ethane'!AA14*'Cracker Yields'!$J$6+'Financial Model High Ethane'!AA15*'Cracker Yields'!$K$6</f>
        <v>3781.75</v>
      </c>
      <c r="AB21" s="405">
        <f>AB12*'Cracker Yields'!$H$6+'Financial Model High Ethane'!AB13*'Cracker Yields'!$I$6+'Financial Model High Ethane'!AB14*'Cracker Yields'!$J$6+'Financial Model High Ethane'!AB15*'Cracker Yields'!$K$6</f>
        <v>3781.75</v>
      </c>
      <c r="AC21" s="405">
        <f>AC12*'Cracker Yields'!$H$6+'Financial Model High Ethane'!AC13*'Cracker Yields'!$I$6+'Financial Model High Ethane'!AC14*'Cracker Yields'!$J$6+'Financial Model High Ethane'!AC15*'Cracker Yields'!$K$6</f>
        <v>3781.75</v>
      </c>
      <c r="AD21" s="405">
        <f>AD12*'Cracker Yields'!$H$6+'Financial Model High Ethane'!AD13*'Cracker Yields'!$I$6+'Financial Model High Ethane'!AD14*'Cracker Yields'!$J$6+'Financial Model High Ethane'!AD15*'Cracker Yields'!$K$6</f>
        <v>3781.75</v>
      </c>
      <c r="AE21" s="405">
        <f>AE12*'Cracker Yields'!$H$6+'Financial Model High Ethane'!AE13*'Cracker Yields'!$I$6+'Financial Model High Ethane'!AE14*'Cracker Yields'!$J$6+'Financial Model High Ethane'!AE15*'Cracker Yields'!$K$6</f>
        <v>3781.75</v>
      </c>
      <c r="AF21" s="405">
        <f>AF12*'Cracker Yields'!$H$6+'Financial Model High Ethane'!AF13*'Cracker Yields'!$I$6+'Financial Model High Ethane'!AF14*'Cracker Yields'!$J$6+'Financial Model High Ethane'!AF15*'Cracker Yields'!$K$6</f>
        <v>3781.75</v>
      </c>
      <c r="AG21" s="405">
        <f>AG12*'Cracker Yields'!$H$6+'Financial Model High Ethane'!AG13*'Cracker Yields'!$I$6+'Financial Model High Ethane'!AG14*'Cracker Yields'!$J$6+'Financial Model High Ethane'!AG15*'Cracker Yields'!$K$6</f>
        <v>3781.75</v>
      </c>
      <c r="AH21" s="405">
        <f>AH12*'Cracker Yields'!$H$6+'Financial Model High Ethane'!AH13*'Cracker Yields'!$I$6+'Financial Model High Ethane'!AH14*'Cracker Yields'!$J$6+'Financial Model High Ethane'!AH15*'Cracker Yields'!$K$6</f>
        <v>3781.75</v>
      </c>
      <c r="AI21" s="405">
        <f>AI12*'Cracker Yields'!$H$6+'Financial Model High Ethane'!AI13*'Cracker Yields'!$I$6+'Financial Model High Ethane'!AI14*'Cracker Yields'!$J$6+'Financial Model High Ethane'!AI15*'Cracker Yields'!$K$6</f>
        <v>3781.75</v>
      </c>
      <c r="AJ21" s="405">
        <f>AJ12*'Cracker Yields'!$H$6+'Financial Model High Ethane'!AJ13*'Cracker Yields'!$I$6+'Financial Model High Ethane'!AJ14*'Cracker Yields'!$J$6+'Financial Model High Ethane'!AJ15*'Cracker Yields'!$K$6</f>
        <v>3781.75</v>
      </c>
      <c r="AK21" s="405">
        <f>AK12*'Cracker Yields'!$H$6+'Financial Model High Ethane'!AK13*'Cracker Yields'!$I$6+'Financial Model High Ethane'!AK14*'Cracker Yields'!$J$6+'Financial Model High Ethane'!AK15*'Cracker Yields'!$K$6</f>
        <v>3781.75</v>
      </c>
      <c r="AL21" s="405">
        <f>AL12*'Cracker Yields'!$H$6+'Financial Model High Ethane'!AL13*'Cracker Yields'!$I$6+'Financial Model High Ethane'!AL14*'Cracker Yields'!$J$6+'Financial Model High Ethane'!AL15*'Cracker Yields'!$K$6</f>
        <v>3781.75</v>
      </c>
      <c r="AM21" s="405">
        <f>AM12*'Cracker Yields'!$H$6+'Financial Model High Ethane'!AM13*'Cracker Yields'!$I$6+'Financial Model High Ethane'!AM14*'Cracker Yields'!$J$6+'Financial Model High Ethane'!AM15*'Cracker Yields'!$K$6</f>
        <v>3781.75</v>
      </c>
      <c r="AN21" s="405">
        <f>AN12*'Cracker Yields'!$H$6+'Financial Model High Ethane'!AN13*'Cracker Yields'!$I$6+'Financial Model High Ethane'!AN14*'Cracker Yields'!$J$6+'Financial Model High Ethane'!AN15*'Cracker Yields'!$K$6</f>
        <v>3781.75</v>
      </c>
      <c r="AO21" s="405">
        <f>AO12*'Cracker Yields'!$H$6+'Financial Model High Ethane'!AO13*'Cracker Yields'!$I$6+'Financial Model High Ethane'!AO14*'Cracker Yields'!$J$6+'Financial Model High Ethane'!AO15*'Cracker Yields'!$K$6</f>
        <v>3781.75</v>
      </c>
      <c r="AP21" s="405">
        <f>AP12*'Cracker Yields'!$H$6+'Financial Model High Ethane'!AP13*'Cracker Yields'!$I$6+'Financial Model High Ethane'!AP14*'Cracker Yields'!$J$6+'Financial Model High Ethane'!AP15*'Cracker Yields'!$K$6</f>
        <v>3781.75</v>
      </c>
      <c r="AQ21" s="405">
        <f>AQ12*'Cracker Yields'!$H$6+'Financial Model High Ethane'!AQ13*'Cracker Yields'!$I$6+'Financial Model High Ethane'!AQ14*'Cracker Yields'!$J$6+'Financial Model High Ethane'!AQ15*'Cracker Yields'!$K$6</f>
        <v>3781.75</v>
      </c>
      <c r="AR21" s="405">
        <f>AR12*'Cracker Yields'!$H$6+'Financial Model High Ethane'!AR13*'Cracker Yields'!$I$6+'Financial Model High Ethane'!AR14*'Cracker Yields'!$J$6+'Financial Model High Ethane'!AR15*'Cracker Yields'!$K$6</f>
        <v>3781.75</v>
      </c>
      <c r="AS21" s="405">
        <f>AS12*'Cracker Yields'!$H$6+'Financial Model High Ethane'!AS13*'Cracker Yields'!$I$6+'Financial Model High Ethane'!AS14*'Cracker Yields'!$J$6+'Financial Model High Ethane'!AS15*'Cracker Yields'!$K$6</f>
        <v>3781.75</v>
      </c>
      <c r="AT21" s="405">
        <f>AT12*'Cracker Yields'!$H$6+'Financial Model High Ethane'!AT13*'Cracker Yields'!$I$6+'Financial Model High Ethane'!AT14*'Cracker Yields'!$J$6+'Financial Model High Ethane'!AT15*'Cracker Yields'!$K$6</f>
        <v>3781.75</v>
      </c>
      <c r="AU21" s="405">
        <f>AU12*'Cracker Yields'!$H$6+'Financial Model High Ethane'!AU13*'Cracker Yields'!$I$6+'Financial Model High Ethane'!AU14*'Cracker Yields'!$J$6+'Financial Model High Ethane'!AU15*'Cracker Yields'!$K$6</f>
        <v>3781.75</v>
      </c>
      <c r="AV21" s="405">
        <f>AV12*'Cracker Yields'!$H$6+'Financial Model High Ethane'!AV13*'Cracker Yields'!$I$6+'Financial Model High Ethane'!AV14*'Cracker Yields'!$J$6+'Financial Model High Ethane'!AV15*'Cracker Yields'!$K$6</f>
        <v>3781.75</v>
      </c>
      <c r="AW21" s="405">
        <f>AW12*'Cracker Yields'!$H$6+'Financial Model High Ethane'!AW13*'Cracker Yields'!$I$6+'Financial Model High Ethane'!AW14*'Cracker Yields'!$J$6+'Financial Model High Ethane'!AW15*'Cracker Yields'!$K$6</f>
        <v>3781.75</v>
      </c>
      <c r="AX21" s="405">
        <f>AX12*'Cracker Yields'!$H$6+'Financial Model High Ethane'!AX13*'Cracker Yields'!$I$6+'Financial Model High Ethane'!AX14*'Cracker Yields'!$J$6+'Financial Model High Ethane'!AX15*'Cracker Yields'!$K$6</f>
        <v>3781.75</v>
      </c>
      <c r="AY21" s="405">
        <f>AY12*'Cracker Yields'!$H$6+'Financial Model High Ethane'!AY13*'Cracker Yields'!$I$6+'Financial Model High Ethane'!AY14*'Cracker Yields'!$J$6+'Financial Model High Ethane'!AY15*'Cracker Yields'!$K$6</f>
        <v>3781.75</v>
      </c>
      <c r="AZ21" s="406">
        <f>AZ12*'Cracker Yields'!$H$6+'Financial Model High Ethane'!AZ13*'Cracker Yields'!$I$6+'Financial Model High Ethane'!AZ14*'Cracker Yields'!$J$6+'Financial Model High Ethane'!AZ15*'Cracker Yields'!$K$6</f>
        <v>3781.75</v>
      </c>
      <c r="BA21" s="405">
        <f>BA12*'Cracker Yields'!$H$6+'Financial Model High Ethane'!BA13*'Cracker Yields'!$I$6+'Financial Model High Ethane'!BA14*'Cracker Yields'!$J$6+'Financial Model High Ethane'!BA15*'Cracker Yields'!$K$6</f>
        <v>3781.75</v>
      </c>
      <c r="BB21" s="405">
        <f>BB12*'Cracker Yields'!$H$6+'Financial Model High Ethane'!BB13*'Cracker Yields'!$I$6+'Financial Model High Ethane'!BB14*'Cracker Yields'!$J$6+'Financial Model High Ethane'!BB15*'Cracker Yields'!$K$6</f>
        <v>3781.75</v>
      </c>
      <c r="BC21" s="405">
        <f>BC12*'Cracker Yields'!$H$6+'Financial Model High Ethane'!BC13*'Cracker Yields'!$I$6+'Financial Model High Ethane'!BC14*'Cracker Yields'!$J$6+'Financial Model High Ethane'!BC15*'Cracker Yields'!$K$6</f>
        <v>3781.75</v>
      </c>
      <c r="BD21" s="405">
        <f>BD12*'Cracker Yields'!$H$6+'Financial Model High Ethane'!BD13*'Cracker Yields'!$I$6+'Financial Model High Ethane'!BD14*'Cracker Yields'!$J$6+'Financial Model High Ethane'!BD15*'Cracker Yields'!$K$6</f>
        <v>3781.75</v>
      </c>
      <c r="BE21" s="405">
        <f>BE12*'Cracker Yields'!$H$6+'Financial Model High Ethane'!BE13*'Cracker Yields'!$I$6+'Financial Model High Ethane'!BE14*'Cracker Yields'!$J$6+'Financial Model High Ethane'!BE15*'Cracker Yields'!$K$6</f>
        <v>3781.75</v>
      </c>
      <c r="BF21" s="405">
        <f>BF12*'Cracker Yields'!$H$6+'Financial Model High Ethane'!BF13*'Cracker Yields'!$I$6+'Financial Model High Ethane'!BF14*'Cracker Yields'!$J$6+'Financial Model High Ethane'!BF15*'Cracker Yields'!$K$6</f>
        <v>3781.75</v>
      </c>
      <c r="BG21" s="405">
        <f>BG12*'Cracker Yields'!$H$6+'Financial Model High Ethane'!BG13*'Cracker Yields'!$I$6+'Financial Model High Ethane'!BG14*'Cracker Yields'!$J$6+'Financial Model High Ethane'!BG15*'Cracker Yields'!$K$6</f>
        <v>3781.75</v>
      </c>
      <c r="BH21" s="405">
        <f>BH12*'Cracker Yields'!$H$6+'Financial Model High Ethane'!BH13*'Cracker Yields'!$I$6+'Financial Model High Ethane'!BH14*'Cracker Yields'!$J$6+'Financial Model High Ethane'!BH15*'Cracker Yields'!$K$6</f>
        <v>3781.75</v>
      </c>
      <c r="BI21" s="405">
        <f>BI12*'Cracker Yields'!$H$6+'Financial Model High Ethane'!BI13*'Cracker Yields'!$I$6+'Financial Model High Ethane'!BI14*'Cracker Yields'!$J$6+'Financial Model High Ethane'!BI15*'Cracker Yields'!$K$6</f>
        <v>3781.75</v>
      </c>
      <c r="BJ21" s="405">
        <f>BJ12*'Cracker Yields'!$H$6+'Financial Model High Ethane'!BJ13*'Cracker Yields'!$I$6+'Financial Model High Ethane'!BJ14*'Cracker Yields'!$J$6+'Financial Model High Ethane'!BJ15*'Cracker Yields'!$K$6</f>
        <v>3781.75</v>
      </c>
      <c r="BK21" s="405">
        <f>BK12*'Cracker Yields'!$H$6+'Financial Model High Ethane'!BK13*'Cracker Yields'!$I$6+'Financial Model High Ethane'!BK14*'Cracker Yields'!$J$6+'Financial Model High Ethane'!BK15*'Cracker Yields'!$K$6</f>
        <v>3781.75</v>
      </c>
      <c r="BL21" s="405">
        <f>BL12*'Cracker Yields'!$H$6+'Financial Model High Ethane'!BL13*'Cracker Yields'!$I$6+'Financial Model High Ethane'!BL14*'Cracker Yields'!$J$6+'Financial Model High Ethane'!BL15*'Cracker Yields'!$K$6</f>
        <v>3781.75</v>
      </c>
      <c r="BM21" s="405">
        <f>BM12*'Cracker Yields'!$H$6+'Financial Model High Ethane'!BM13*'Cracker Yields'!$I$6+'Financial Model High Ethane'!BM14*'Cracker Yields'!$J$6+'Financial Model High Ethane'!BM15*'Cracker Yields'!$K$6</f>
        <v>3781.75</v>
      </c>
      <c r="BN21" s="405">
        <f>BN12*'Cracker Yields'!$H$6+'Financial Model High Ethane'!BN13*'Cracker Yields'!$I$6+'Financial Model High Ethane'!BN14*'Cracker Yields'!$J$6+'Financial Model High Ethane'!BN15*'Cracker Yields'!$K$6</f>
        <v>3781.75</v>
      </c>
      <c r="BO21" s="405">
        <f>BO12*'Cracker Yields'!$H$6+'Financial Model High Ethane'!BO13*'Cracker Yields'!$I$6+'Financial Model High Ethane'!BO14*'Cracker Yields'!$J$6+'Financial Model High Ethane'!BO15*'Cracker Yields'!$K$6</f>
        <v>3781.75</v>
      </c>
      <c r="BP21" s="405">
        <f>BP12*'Cracker Yields'!$H$6+'Financial Model High Ethane'!BP13*'Cracker Yields'!$I$6+'Financial Model High Ethane'!BP14*'Cracker Yields'!$J$6+'Financial Model High Ethane'!BP15*'Cracker Yields'!$K$6</f>
        <v>3781.75</v>
      </c>
      <c r="BQ21" s="405">
        <f>BQ12*'Cracker Yields'!$H$6+'Financial Model High Ethane'!BQ13*'Cracker Yields'!$I$6+'Financial Model High Ethane'!BQ14*'Cracker Yields'!$J$6+'Financial Model High Ethane'!BQ15*'Cracker Yields'!$K$6</f>
        <v>3781.75</v>
      </c>
      <c r="BR21" s="405">
        <f>BR12*'Cracker Yields'!$H$6+'Financial Model High Ethane'!BR13*'Cracker Yields'!$I$6+'Financial Model High Ethane'!BR14*'Cracker Yields'!$J$6+'Financial Model High Ethane'!BR15*'Cracker Yields'!$K$6</f>
        <v>3781.75</v>
      </c>
      <c r="BS21" s="405">
        <f>BS12*'Cracker Yields'!$H$6+'Financial Model High Ethane'!BS13*'Cracker Yields'!$I$6+'Financial Model High Ethane'!BS14*'Cracker Yields'!$J$6+'Financial Model High Ethane'!BS15*'Cracker Yields'!$K$6</f>
        <v>3781.75</v>
      </c>
      <c r="BT21" s="405">
        <f>BT12*'Cracker Yields'!$H$6+'Financial Model High Ethane'!BT13*'Cracker Yields'!$I$6+'Financial Model High Ethane'!BT14*'Cracker Yields'!$J$6+'Financial Model High Ethane'!BT15*'Cracker Yields'!$K$6</f>
        <v>3781.75</v>
      </c>
      <c r="BU21" s="405">
        <f>BU12*'Cracker Yields'!$H$6+'Financial Model High Ethane'!BU13*'Cracker Yields'!$I$6+'Financial Model High Ethane'!BU14*'Cracker Yields'!$J$6+'Financial Model High Ethane'!BU15*'Cracker Yields'!$K$6</f>
        <v>3781.75</v>
      </c>
      <c r="BV21" s="405">
        <f>BV12*'Cracker Yields'!$H$6+'Financial Model High Ethane'!BV13*'Cracker Yields'!$I$6+'Financial Model High Ethane'!BV14*'Cracker Yields'!$J$6+'Financial Model High Ethane'!BV15*'Cracker Yields'!$K$6</f>
        <v>3781.75</v>
      </c>
      <c r="BW21" s="405">
        <f>BW12*'Cracker Yields'!$H$6+'Financial Model High Ethane'!BW13*'Cracker Yields'!$I$6+'Financial Model High Ethane'!BW14*'Cracker Yields'!$J$6+'Financial Model High Ethane'!BW15*'Cracker Yields'!$K$6</f>
        <v>3781.75</v>
      </c>
      <c r="BX21" s="405">
        <f>BX12*'Cracker Yields'!$H$6+'Financial Model High Ethane'!BX13*'Cracker Yields'!$I$6+'Financial Model High Ethane'!BX14*'Cracker Yields'!$J$6+'Financial Model High Ethane'!BX15*'Cracker Yields'!$K$6</f>
        <v>3781.75</v>
      </c>
      <c r="BY21" s="405">
        <f>BY12*'Cracker Yields'!$H$6+'Financial Model High Ethane'!BY13*'Cracker Yields'!$I$6+'Financial Model High Ethane'!BY14*'Cracker Yields'!$J$6+'Financial Model High Ethane'!BY15*'Cracker Yields'!$K$6</f>
        <v>3781.75</v>
      </c>
      <c r="BZ21" s="405">
        <f>BZ12*'Cracker Yields'!$H$6+'Financial Model High Ethane'!BZ13*'Cracker Yields'!$I$6+'Financial Model High Ethane'!BZ14*'Cracker Yields'!$J$6+'Financial Model High Ethane'!BZ15*'Cracker Yields'!$K$6</f>
        <v>3781.75</v>
      </c>
      <c r="CA21" s="405">
        <f>CA12*'Cracker Yields'!$H$6+'Financial Model High Ethane'!CA13*'Cracker Yields'!$I$6+'Financial Model High Ethane'!CA14*'Cracker Yields'!$J$6+'Financial Model High Ethane'!CA15*'Cracker Yields'!$K$6</f>
        <v>3781.75</v>
      </c>
      <c r="CB21" s="405">
        <f>CB12*'Cracker Yields'!$H$6+'Financial Model High Ethane'!CB13*'Cracker Yields'!$I$6+'Financial Model High Ethane'!CB14*'Cracker Yields'!$J$6+'Financial Model High Ethane'!CB15*'Cracker Yields'!$K$6</f>
        <v>3781.75</v>
      </c>
      <c r="CC21" s="405">
        <f>CC12*'Cracker Yields'!$H$6+'Financial Model High Ethane'!CC13*'Cracker Yields'!$I$6+'Financial Model High Ethane'!CC14*'Cracker Yields'!$J$6+'Financial Model High Ethane'!CC15*'Cracker Yields'!$K$6</f>
        <v>3781.75</v>
      </c>
      <c r="CD21" s="405">
        <f>CD12*'Cracker Yields'!$H$6+'Financial Model High Ethane'!CD13*'Cracker Yields'!$I$6+'Financial Model High Ethane'!CD14*'Cracker Yields'!$J$6+'Financial Model High Ethane'!CD15*'Cracker Yields'!$K$6</f>
        <v>3781.75</v>
      </c>
      <c r="CE21" s="405">
        <f>CE12*'Cracker Yields'!$H$6+'Financial Model High Ethane'!CE13*'Cracker Yields'!$I$6+'Financial Model High Ethane'!CE14*'Cracker Yields'!$J$6+'Financial Model High Ethane'!CE15*'Cracker Yields'!$K$6</f>
        <v>3781.75</v>
      </c>
      <c r="CF21" s="405">
        <f>CF12*'Cracker Yields'!$H$6+'Financial Model High Ethane'!CF13*'Cracker Yields'!$I$6+'Financial Model High Ethane'!CF14*'Cracker Yields'!$J$6+'Financial Model High Ethane'!CF15*'Cracker Yields'!$K$6</f>
        <v>3781.75</v>
      </c>
      <c r="CG21" s="405">
        <f>CG12*'Cracker Yields'!$H$6+'Financial Model High Ethane'!CG13*'Cracker Yields'!$I$6+'Financial Model High Ethane'!CG14*'Cracker Yields'!$J$6+'Financial Model High Ethane'!CG15*'Cracker Yields'!$K$6</f>
        <v>3781.75</v>
      </c>
      <c r="CH21" s="405">
        <f>CH12*'Cracker Yields'!$H$6+'Financial Model High Ethane'!CH13*'Cracker Yields'!$I$6+'Financial Model High Ethane'!CH14*'Cracker Yields'!$J$6+'Financial Model High Ethane'!CH15*'Cracker Yields'!$K$6</f>
        <v>3781.75</v>
      </c>
      <c r="CI21" s="405">
        <f>CI12*'Cracker Yields'!$H$6+'Financial Model High Ethane'!CI13*'Cracker Yields'!$I$6+'Financial Model High Ethane'!CI14*'Cracker Yields'!$J$6+'Financial Model High Ethane'!CI15*'Cracker Yields'!$K$6</f>
        <v>3781.75</v>
      </c>
      <c r="CJ21" s="405">
        <f>CJ12*'Cracker Yields'!$H$6+'Financial Model High Ethane'!CJ13*'Cracker Yields'!$I$6+'Financial Model High Ethane'!CJ14*'Cracker Yields'!$J$6+'Financial Model High Ethane'!CJ15*'Cracker Yields'!$K$6</f>
        <v>3781.75</v>
      </c>
      <c r="CK21" s="405">
        <f>CK12*'Cracker Yields'!$H$6+'Financial Model High Ethane'!CK13*'Cracker Yields'!$I$6+'Financial Model High Ethane'!CK14*'Cracker Yields'!$J$6+'Financial Model High Ethane'!CK15*'Cracker Yields'!$K$6</f>
        <v>3781.75</v>
      </c>
      <c r="CL21" s="405">
        <f>CL12*'Cracker Yields'!$H$6+'Financial Model High Ethane'!CL13*'Cracker Yields'!$I$6+'Financial Model High Ethane'!CL14*'Cracker Yields'!$J$6+'Financial Model High Ethane'!CL15*'Cracker Yields'!$K$6</f>
        <v>3781.75</v>
      </c>
      <c r="CM21" s="41">
        <f t="shared" si="1"/>
        <v>3781.75</v>
      </c>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c r="EB21" s="58"/>
      <c r="EC21" s="58"/>
      <c r="ED21" s="58"/>
      <c r="EE21" s="58"/>
      <c r="EF21" s="58"/>
      <c r="EG21" s="58"/>
      <c r="EH21" s="58"/>
      <c r="EI21" s="58"/>
      <c r="EJ21" s="58"/>
      <c r="EK21" s="58"/>
      <c r="EL21" s="58"/>
      <c r="EM21" s="58"/>
      <c r="EN21" s="58"/>
      <c r="EO21" s="58"/>
      <c r="EP21" s="58"/>
      <c r="EQ21" s="58"/>
      <c r="ER21" s="58"/>
      <c r="ES21" s="58"/>
      <c r="ET21" s="58"/>
      <c r="EU21" s="58"/>
      <c r="EV21" s="58"/>
      <c r="EW21" s="58"/>
      <c r="EX21" s="58"/>
      <c r="EY21" s="58"/>
      <c r="EZ21" s="58"/>
      <c r="FA21" s="58"/>
      <c r="FB21" s="58"/>
      <c r="FC21" s="58"/>
      <c r="FD21" s="58"/>
      <c r="FE21" s="58"/>
      <c r="FF21" s="58"/>
      <c r="FG21" s="58"/>
      <c r="FH21" s="58"/>
      <c r="FI21" s="58"/>
      <c r="FJ21" s="58"/>
      <c r="FK21" s="58"/>
      <c r="FL21" s="58"/>
      <c r="FM21" s="58"/>
      <c r="FN21" s="58"/>
      <c r="FO21" s="58"/>
      <c r="FP21" s="58"/>
      <c r="FQ21" s="58"/>
      <c r="FR21" s="58"/>
      <c r="FS21" s="58"/>
      <c r="FT21" s="58"/>
      <c r="FU21" s="58"/>
      <c r="FV21" s="58"/>
    </row>
    <row r="22" spans="1:178">
      <c r="A22" s="1069"/>
      <c r="B22" s="224" t="s">
        <v>312</v>
      </c>
      <c r="C22" s="367" t="s">
        <v>313</v>
      </c>
      <c r="D22" s="367"/>
      <c r="E22" s="1072"/>
      <c r="F22" s="407" t="str">
        <f>F11</f>
        <v xml:space="preserve"> C9+   </v>
      </c>
      <c r="G22" s="408">
        <f>G12*'Cracker Yields'!$H$12+'Financial Model High Ethane'!G13*'Cracker Yields'!$I$12+'Financial Model High Ethane'!G14*'Cracker Yields'!$J$12+'Financial Model High Ethane'!G15*'Cracker Yields'!$K$12</f>
        <v>1772.2346400000001</v>
      </c>
      <c r="H22" s="408">
        <f>H12*'Cracker Yields'!$H$12+'Financial Model High Ethane'!H13*'Cracker Yields'!$I$12+'Financial Model High Ethane'!H14*'Cracker Yields'!$J$12+'Financial Model High Ethane'!H15*'Cracker Yields'!$K$12</f>
        <v>1772.2346400000001</v>
      </c>
      <c r="I22" s="408">
        <f>I12*'Cracker Yields'!$H$12+'Financial Model High Ethane'!I13*'Cracker Yields'!$I$12+'Financial Model High Ethane'!I14*'Cracker Yields'!$J$12+'Financial Model High Ethane'!I15*'Cracker Yields'!$K$12</f>
        <v>1772.2346400000001</v>
      </c>
      <c r="J22" s="408">
        <f>J12*'Cracker Yields'!$H$12+'Financial Model High Ethane'!J13*'Cracker Yields'!$I$12+'Financial Model High Ethane'!J14*'Cracker Yields'!$J$12+'Financial Model High Ethane'!J15*'Cracker Yields'!$K$12</f>
        <v>1772.2346400000001</v>
      </c>
      <c r="K22" s="408">
        <f>K12*'Cracker Yields'!$H$12+'Financial Model High Ethane'!K13*'Cracker Yields'!$I$12+'Financial Model High Ethane'!K14*'Cracker Yields'!$J$12+'Financial Model High Ethane'!K15*'Cracker Yields'!$K$12</f>
        <v>1772.2346400000001</v>
      </c>
      <c r="L22" s="408">
        <f>L12*'Cracker Yields'!$H$12+'Financial Model High Ethane'!L13*'Cracker Yields'!$I$12+'Financial Model High Ethane'!L14*'Cracker Yields'!$J$12+'Financial Model High Ethane'!L15*'Cracker Yields'!$K$12</f>
        <v>1772.2346400000001</v>
      </c>
      <c r="M22" s="408">
        <f>M12*'Cracker Yields'!$H$12+'Financial Model High Ethane'!M13*'Cracker Yields'!$I$12+'Financial Model High Ethane'!M14*'Cracker Yields'!$J$12+'Financial Model High Ethane'!M15*'Cracker Yields'!$K$12</f>
        <v>1772.2346400000001</v>
      </c>
      <c r="N22" s="408">
        <f>N12*'Cracker Yields'!$H$12+'Financial Model High Ethane'!N13*'Cracker Yields'!$I$12+'Financial Model High Ethane'!N14*'Cracker Yields'!$J$12+'Financial Model High Ethane'!N15*'Cracker Yields'!$K$12</f>
        <v>1772.2346400000001</v>
      </c>
      <c r="O22" s="408">
        <f>O12*'Cracker Yields'!$H$12+'Financial Model High Ethane'!O13*'Cracker Yields'!$I$12+'Financial Model High Ethane'!O14*'Cracker Yields'!$J$12+'Financial Model High Ethane'!O15*'Cracker Yields'!$K$12</f>
        <v>1772.2346400000001</v>
      </c>
      <c r="P22" s="408">
        <f>P12*'Cracker Yields'!$H$12+'Financial Model High Ethane'!P13*'Cracker Yields'!$I$12+'Financial Model High Ethane'!P14*'Cracker Yields'!$J$12+'Financial Model High Ethane'!P15*'Cracker Yields'!$K$12</f>
        <v>1772.2346400000001</v>
      </c>
      <c r="Q22" s="408">
        <f>Q12*'Cracker Yields'!$H$12+'Financial Model High Ethane'!Q13*'Cracker Yields'!$I$12+'Financial Model High Ethane'!Q14*'Cracker Yields'!$J$12+'Financial Model High Ethane'!Q15*'Cracker Yields'!$K$12</f>
        <v>1772.2346400000001</v>
      </c>
      <c r="R22" s="408">
        <f>R12*'Cracker Yields'!$H$12+'Financial Model High Ethane'!R13*'Cracker Yields'!$I$12+'Financial Model High Ethane'!R14*'Cracker Yields'!$J$12+'Financial Model High Ethane'!R15*'Cracker Yields'!$K$12</f>
        <v>1772.2346400000001</v>
      </c>
      <c r="S22" s="408">
        <f>S12*'Cracker Yields'!$H$12+'Financial Model High Ethane'!S13*'Cracker Yields'!$I$12+'Financial Model High Ethane'!S14*'Cracker Yields'!$J$12+'Financial Model High Ethane'!S15*'Cracker Yields'!$K$12</f>
        <v>1772.2346400000001</v>
      </c>
      <c r="T22" s="408">
        <f>T12*'Cracker Yields'!$H$12+'Financial Model High Ethane'!T13*'Cracker Yields'!$I$12+'Financial Model High Ethane'!T14*'Cracker Yields'!$J$12+'Financial Model High Ethane'!T15*'Cracker Yields'!$K$12</f>
        <v>1772.2346400000001</v>
      </c>
      <c r="U22" s="409">
        <f>U12*'Cracker Yields'!$H$12+'Financial Model High Ethane'!U13*'Cracker Yields'!$I$12+'Financial Model High Ethane'!U14*'Cracker Yields'!$J$12+'Financial Model High Ethane'!U15*'Cracker Yields'!$K$12</f>
        <v>1772.2346400000001</v>
      </c>
      <c r="V22" s="408">
        <f>V12*'Cracker Yields'!$H$12+'Financial Model High Ethane'!V13*'Cracker Yields'!$I$12+'Financial Model High Ethane'!V14*'Cracker Yields'!$J$12+'Financial Model High Ethane'!V15*'Cracker Yields'!$K$12</f>
        <v>1772.2346400000001</v>
      </c>
      <c r="W22" s="408">
        <f>W12*'Cracker Yields'!$H$12+'Financial Model High Ethane'!W13*'Cracker Yields'!$I$12+'Financial Model High Ethane'!W14*'Cracker Yields'!$J$12+'Financial Model High Ethane'!W15*'Cracker Yields'!$K$12</f>
        <v>1772.2346400000001</v>
      </c>
      <c r="X22" s="408">
        <f>X12*'Cracker Yields'!$H$12+'Financial Model High Ethane'!X13*'Cracker Yields'!$I$12+'Financial Model High Ethane'!X14*'Cracker Yields'!$J$12+'Financial Model High Ethane'!X15*'Cracker Yields'!$K$12</f>
        <v>1772.2346400000001</v>
      </c>
      <c r="Y22" s="408">
        <f>Y12*'Cracker Yields'!$H$12+'Financial Model High Ethane'!Y13*'Cracker Yields'!$I$12+'Financial Model High Ethane'!Y14*'Cracker Yields'!$J$12+'Financial Model High Ethane'!Y15*'Cracker Yields'!$K$12</f>
        <v>1772.2346400000001</v>
      </c>
      <c r="Z22" s="408">
        <f>Z12*'Cracker Yields'!$H$12+'Financial Model High Ethane'!Z13*'Cracker Yields'!$I$12+'Financial Model High Ethane'!Z14*'Cracker Yields'!$J$12+'Financial Model High Ethane'!Z15*'Cracker Yields'!$K$12</f>
        <v>1772.2346400000001</v>
      </c>
      <c r="AA22" s="408">
        <f>AA12*'Cracker Yields'!$H$12+'Financial Model High Ethane'!AA13*'Cracker Yields'!$I$12+'Financial Model High Ethane'!AA14*'Cracker Yields'!$J$12+'Financial Model High Ethane'!AA15*'Cracker Yields'!$K$12</f>
        <v>1772.2346400000001</v>
      </c>
      <c r="AB22" s="408">
        <f>AB12*'Cracker Yields'!$H$12+'Financial Model High Ethane'!AB13*'Cracker Yields'!$I$12+'Financial Model High Ethane'!AB14*'Cracker Yields'!$J$12+'Financial Model High Ethane'!AB15*'Cracker Yields'!$K$12</f>
        <v>1772.2346400000001</v>
      </c>
      <c r="AC22" s="408">
        <f>AC12*'Cracker Yields'!$H$12+'Financial Model High Ethane'!AC13*'Cracker Yields'!$I$12+'Financial Model High Ethane'!AC14*'Cracker Yields'!$J$12+'Financial Model High Ethane'!AC15*'Cracker Yields'!$K$12</f>
        <v>1772.2346400000001</v>
      </c>
      <c r="AD22" s="408">
        <f>AD12*'Cracker Yields'!$H$12+'Financial Model High Ethane'!AD13*'Cracker Yields'!$I$12+'Financial Model High Ethane'!AD14*'Cracker Yields'!$J$12+'Financial Model High Ethane'!AD15*'Cracker Yields'!$K$12</f>
        <v>1772.2346400000001</v>
      </c>
      <c r="AE22" s="408">
        <f>AE12*'Cracker Yields'!$H$12+'Financial Model High Ethane'!AE13*'Cracker Yields'!$I$12+'Financial Model High Ethane'!AE14*'Cracker Yields'!$J$12+'Financial Model High Ethane'!AE15*'Cracker Yields'!$K$12</f>
        <v>1772.2346400000001</v>
      </c>
      <c r="AF22" s="408">
        <f>AF12*'Cracker Yields'!$H$12+'Financial Model High Ethane'!AF13*'Cracker Yields'!$I$12+'Financial Model High Ethane'!AF14*'Cracker Yields'!$J$12+'Financial Model High Ethane'!AF15*'Cracker Yields'!$K$12</f>
        <v>1772.2346400000001</v>
      </c>
      <c r="AG22" s="408">
        <f>AG12*'Cracker Yields'!$H$12+'Financial Model High Ethane'!AG13*'Cracker Yields'!$I$12+'Financial Model High Ethane'!AG14*'Cracker Yields'!$J$12+'Financial Model High Ethane'!AG15*'Cracker Yields'!$K$12</f>
        <v>1772.2346400000001</v>
      </c>
      <c r="AH22" s="408">
        <f>AH12*'Cracker Yields'!$H$12+'Financial Model High Ethane'!AH13*'Cracker Yields'!$I$12+'Financial Model High Ethane'!AH14*'Cracker Yields'!$J$12+'Financial Model High Ethane'!AH15*'Cracker Yields'!$K$12</f>
        <v>1772.2346400000001</v>
      </c>
      <c r="AI22" s="408">
        <f>AI12*'Cracker Yields'!$H$12+'Financial Model High Ethane'!AI13*'Cracker Yields'!$I$12+'Financial Model High Ethane'!AI14*'Cracker Yields'!$J$12+'Financial Model High Ethane'!AI15*'Cracker Yields'!$K$12</f>
        <v>1772.2346400000001</v>
      </c>
      <c r="AJ22" s="408">
        <f>AJ12*'Cracker Yields'!$H$12+'Financial Model High Ethane'!AJ13*'Cracker Yields'!$I$12+'Financial Model High Ethane'!AJ14*'Cracker Yields'!$J$12+'Financial Model High Ethane'!AJ15*'Cracker Yields'!$K$12</f>
        <v>1772.2346400000001</v>
      </c>
      <c r="AK22" s="408">
        <f>AK12*'Cracker Yields'!$H$12+'Financial Model High Ethane'!AK13*'Cracker Yields'!$I$12+'Financial Model High Ethane'!AK14*'Cracker Yields'!$J$12+'Financial Model High Ethane'!AK15*'Cracker Yields'!$K$12</f>
        <v>1772.2346400000001</v>
      </c>
      <c r="AL22" s="408">
        <f>AL12*'Cracker Yields'!$H$12+'Financial Model High Ethane'!AL13*'Cracker Yields'!$I$12+'Financial Model High Ethane'!AL14*'Cracker Yields'!$J$12+'Financial Model High Ethane'!AL15*'Cracker Yields'!$K$12</f>
        <v>1772.2346400000001</v>
      </c>
      <c r="AM22" s="408">
        <f>AM12*'Cracker Yields'!$H$12+'Financial Model High Ethane'!AM13*'Cracker Yields'!$I$12+'Financial Model High Ethane'!AM14*'Cracker Yields'!$J$12+'Financial Model High Ethane'!AM15*'Cracker Yields'!$K$12</f>
        <v>1772.2346400000001</v>
      </c>
      <c r="AN22" s="408">
        <f>AN12*'Cracker Yields'!$H$12+'Financial Model High Ethane'!AN13*'Cracker Yields'!$I$12+'Financial Model High Ethane'!AN14*'Cracker Yields'!$J$12+'Financial Model High Ethane'!AN15*'Cracker Yields'!$K$12</f>
        <v>1772.2346400000001</v>
      </c>
      <c r="AO22" s="408">
        <f>AO12*'Cracker Yields'!$H$12+'Financial Model High Ethane'!AO13*'Cracker Yields'!$I$12+'Financial Model High Ethane'!AO14*'Cracker Yields'!$J$12+'Financial Model High Ethane'!AO15*'Cracker Yields'!$K$12</f>
        <v>1772.2346400000001</v>
      </c>
      <c r="AP22" s="408">
        <f>AP12*'Cracker Yields'!$H$12+'Financial Model High Ethane'!AP13*'Cracker Yields'!$I$12+'Financial Model High Ethane'!AP14*'Cracker Yields'!$J$12+'Financial Model High Ethane'!AP15*'Cracker Yields'!$K$12</f>
        <v>1772.2346400000001</v>
      </c>
      <c r="AQ22" s="408">
        <f>AQ12*'Cracker Yields'!$H$12+'Financial Model High Ethane'!AQ13*'Cracker Yields'!$I$12+'Financial Model High Ethane'!AQ14*'Cracker Yields'!$J$12+'Financial Model High Ethane'!AQ15*'Cracker Yields'!$K$12</f>
        <v>1772.2346400000001</v>
      </c>
      <c r="AR22" s="408">
        <f>AR12*'Cracker Yields'!$H$12+'Financial Model High Ethane'!AR13*'Cracker Yields'!$I$12+'Financial Model High Ethane'!AR14*'Cracker Yields'!$J$12+'Financial Model High Ethane'!AR15*'Cracker Yields'!$K$12</f>
        <v>1772.2346400000001</v>
      </c>
      <c r="AS22" s="408">
        <f>AS12*'Cracker Yields'!$H$12+'Financial Model High Ethane'!AS13*'Cracker Yields'!$I$12+'Financial Model High Ethane'!AS14*'Cracker Yields'!$J$12+'Financial Model High Ethane'!AS15*'Cracker Yields'!$K$12</f>
        <v>1772.2346400000001</v>
      </c>
      <c r="AT22" s="408">
        <f>AT12*'Cracker Yields'!$H$12+'Financial Model High Ethane'!AT13*'Cracker Yields'!$I$12+'Financial Model High Ethane'!AT14*'Cracker Yields'!$J$12+'Financial Model High Ethane'!AT15*'Cracker Yields'!$K$12</f>
        <v>1772.2346400000001</v>
      </c>
      <c r="AU22" s="408">
        <f>AU12*'Cracker Yields'!$H$12+'Financial Model High Ethane'!AU13*'Cracker Yields'!$I$12+'Financial Model High Ethane'!AU14*'Cracker Yields'!$J$12+'Financial Model High Ethane'!AU15*'Cracker Yields'!$K$12</f>
        <v>1772.2346400000001</v>
      </c>
      <c r="AV22" s="408">
        <f>AV12*'Cracker Yields'!$H$12+'Financial Model High Ethane'!AV13*'Cracker Yields'!$I$12+'Financial Model High Ethane'!AV14*'Cracker Yields'!$J$12+'Financial Model High Ethane'!AV15*'Cracker Yields'!$K$12</f>
        <v>1772.2346400000001</v>
      </c>
      <c r="AW22" s="408">
        <f>AW12*'Cracker Yields'!$H$12+'Financial Model High Ethane'!AW13*'Cracker Yields'!$I$12+'Financial Model High Ethane'!AW14*'Cracker Yields'!$J$12+'Financial Model High Ethane'!AW15*'Cracker Yields'!$K$12</f>
        <v>1772.2346400000001</v>
      </c>
      <c r="AX22" s="408">
        <f>AX12*'Cracker Yields'!$H$12+'Financial Model High Ethane'!AX13*'Cracker Yields'!$I$12+'Financial Model High Ethane'!AX14*'Cracker Yields'!$J$12+'Financial Model High Ethane'!AX15*'Cracker Yields'!$K$12</f>
        <v>1772.2346400000001</v>
      </c>
      <c r="AY22" s="408">
        <f>AY12*'Cracker Yields'!$H$12+'Financial Model High Ethane'!AY13*'Cracker Yields'!$I$12+'Financial Model High Ethane'!AY14*'Cracker Yields'!$J$12+'Financial Model High Ethane'!AY15*'Cracker Yields'!$K$12</f>
        <v>1772.2346400000001</v>
      </c>
      <c r="AZ22" s="409">
        <f>AZ12*'Cracker Yields'!$H$12+'Financial Model High Ethane'!AZ13*'Cracker Yields'!$I$12+'Financial Model High Ethane'!AZ14*'Cracker Yields'!$J$12+'Financial Model High Ethane'!AZ15*'Cracker Yields'!$K$12</f>
        <v>1772.2346400000001</v>
      </c>
      <c r="BA22" s="408">
        <f>BA12*'Cracker Yields'!$H$12+'Financial Model High Ethane'!BA13*'Cracker Yields'!$I$12+'Financial Model High Ethane'!BA14*'Cracker Yields'!$J$12+'Financial Model High Ethane'!BA15*'Cracker Yields'!$K$12</f>
        <v>1772.2346400000001</v>
      </c>
      <c r="BB22" s="408">
        <f>BB12*'Cracker Yields'!$H$12+'Financial Model High Ethane'!BB13*'Cracker Yields'!$I$12+'Financial Model High Ethane'!BB14*'Cracker Yields'!$J$12+'Financial Model High Ethane'!BB15*'Cracker Yields'!$K$12</f>
        <v>1772.2346400000001</v>
      </c>
      <c r="BC22" s="408">
        <f>BC12*'Cracker Yields'!$H$12+'Financial Model High Ethane'!BC13*'Cracker Yields'!$I$12+'Financial Model High Ethane'!BC14*'Cracker Yields'!$J$12+'Financial Model High Ethane'!BC15*'Cracker Yields'!$K$12</f>
        <v>1772.2346400000001</v>
      </c>
      <c r="BD22" s="408">
        <f>BD12*'Cracker Yields'!$H$12+'Financial Model High Ethane'!BD13*'Cracker Yields'!$I$12+'Financial Model High Ethane'!BD14*'Cracker Yields'!$J$12+'Financial Model High Ethane'!BD15*'Cracker Yields'!$K$12</f>
        <v>1772.2346400000001</v>
      </c>
      <c r="BE22" s="408">
        <f>BE12*'Cracker Yields'!$H$12+'Financial Model High Ethane'!BE13*'Cracker Yields'!$I$12+'Financial Model High Ethane'!BE14*'Cracker Yields'!$J$12+'Financial Model High Ethane'!BE15*'Cracker Yields'!$K$12</f>
        <v>1772.2346400000001</v>
      </c>
      <c r="BF22" s="408">
        <f>BF12*'Cracker Yields'!$H$12+'Financial Model High Ethane'!BF13*'Cracker Yields'!$I$12+'Financial Model High Ethane'!BF14*'Cracker Yields'!$J$12+'Financial Model High Ethane'!BF15*'Cracker Yields'!$K$12</f>
        <v>1772.2346400000001</v>
      </c>
      <c r="BG22" s="408">
        <f>BG12*'Cracker Yields'!$H$12+'Financial Model High Ethane'!BG13*'Cracker Yields'!$I$12+'Financial Model High Ethane'!BG14*'Cracker Yields'!$J$12+'Financial Model High Ethane'!BG15*'Cracker Yields'!$K$12</f>
        <v>1772.2346400000001</v>
      </c>
      <c r="BH22" s="408">
        <f>BH12*'Cracker Yields'!$H$12+'Financial Model High Ethane'!BH13*'Cracker Yields'!$I$12+'Financial Model High Ethane'!BH14*'Cracker Yields'!$J$12+'Financial Model High Ethane'!BH15*'Cracker Yields'!$K$12</f>
        <v>1772.2346400000001</v>
      </c>
      <c r="BI22" s="408">
        <f>BI12*'Cracker Yields'!$H$12+'Financial Model High Ethane'!BI13*'Cracker Yields'!$I$12+'Financial Model High Ethane'!BI14*'Cracker Yields'!$J$12+'Financial Model High Ethane'!BI15*'Cracker Yields'!$K$12</f>
        <v>1772.2346400000001</v>
      </c>
      <c r="BJ22" s="408">
        <f>BJ12*'Cracker Yields'!$H$12+'Financial Model High Ethane'!BJ13*'Cracker Yields'!$I$12+'Financial Model High Ethane'!BJ14*'Cracker Yields'!$J$12+'Financial Model High Ethane'!BJ15*'Cracker Yields'!$K$12</f>
        <v>1772.2346400000001</v>
      </c>
      <c r="BK22" s="408">
        <f>BK12*'Cracker Yields'!$H$12+'Financial Model High Ethane'!BK13*'Cracker Yields'!$I$12+'Financial Model High Ethane'!BK14*'Cracker Yields'!$J$12+'Financial Model High Ethane'!BK15*'Cracker Yields'!$K$12</f>
        <v>1772.2346400000001</v>
      </c>
      <c r="BL22" s="408">
        <f>BL12*'Cracker Yields'!$H$12+'Financial Model High Ethane'!BL13*'Cracker Yields'!$I$12+'Financial Model High Ethane'!BL14*'Cracker Yields'!$J$12+'Financial Model High Ethane'!BL15*'Cracker Yields'!$K$12</f>
        <v>1772.2346400000001</v>
      </c>
      <c r="BM22" s="408">
        <f>BM12*'Cracker Yields'!$H$12+'Financial Model High Ethane'!BM13*'Cracker Yields'!$I$12+'Financial Model High Ethane'!BM14*'Cracker Yields'!$J$12+'Financial Model High Ethane'!BM15*'Cracker Yields'!$K$12</f>
        <v>1772.2346400000001</v>
      </c>
      <c r="BN22" s="408">
        <f>BN12*'Cracker Yields'!$H$12+'Financial Model High Ethane'!BN13*'Cracker Yields'!$I$12+'Financial Model High Ethane'!BN14*'Cracker Yields'!$J$12+'Financial Model High Ethane'!BN15*'Cracker Yields'!$K$12</f>
        <v>1772.2346400000001</v>
      </c>
      <c r="BO22" s="408">
        <f>BO12*'Cracker Yields'!$H$12+'Financial Model High Ethane'!BO13*'Cracker Yields'!$I$12+'Financial Model High Ethane'!BO14*'Cracker Yields'!$J$12+'Financial Model High Ethane'!BO15*'Cracker Yields'!$K$12</f>
        <v>1772.2346400000001</v>
      </c>
      <c r="BP22" s="408">
        <f>BP12*'Cracker Yields'!$H$12+'Financial Model High Ethane'!BP13*'Cracker Yields'!$I$12+'Financial Model High Ethane'!BP14*'Cracker Yields'!$J$12+'Financial Model High Ethane'!BP15*'Cracker Yields'!$K$12</f>
        <v>1772.2346400000001</v>
      </c>
      <c r="BQ22" s="408">
        <f>BQ12*'Cracker Yields'!$H$12+'Financial Model High Ethane'!BQ13*'Cracker Yields'!$I$12+'Financial Model High Ethane'!BQ14*'Cracker Yields'!$J$12+'Financial Model High Ethane'!BQ15*'Cracker Yields'!$K$12</f>
        <v>1772.2346400000001</v>
      </c>
      <c r="BR22" s="408">
        <f>BR12*'Cracker Yields'!$H$12+'Financial Model High Ethane'!BR13*'Cracker Yields'!$I$12+'Financial Model High Ethane'!BR14*'Cracker Yields'!$J$12+'Financial Model High Ethane'!BR15*'Cracker Yields'!$K$12</f>
        <v>1772.2346400000001</v>
      </c>
      <c r="BS22" s="408">
        <f>BS12*'Cracker Yields'!$H$12+'Financial Model High Ethane'!BS13*'Cracker Yields'!$I$12+'Financial Model High Ethane'!BS14*'Cracker Yields'!$J$12+'Financial Model High Ethane'!BS15*'Cracker Yields'!$K$12</f>
        <v>1772.2346400000001</v>
      </c>
      <c r="BT22" s="408">
        <f>BT12*'Cracker Yields'!$H$12+'Financial Model High Ethane'!BT13*'Cracker Yields'!$I$12+'Financial Model High Ethane'!BT14*'Cracker Yields'!$J$12+'Financial Model High Ethane'!BT15*'Cracker Yields'!$K$12</f>
        <v>1772.2346400000001</v>
      </c>
      <c r="BU22" s="408">
        <f>BU12*'Cracker Yields'!$H$12+'Financial Model High Ethane'!BU13*'Cracker Yields'!$I$12+'Financial Model High Ethane'!BU14*'Cracker Yields'!$J$12+'Financial Model High Ethane'!BU15*'Cracker Yields'!$K$12</f>
        <v>1772.2346400000001</v>
      </c>
      <c r="BV22" s="408">
        <f>BV12*'Cracker Yields'!$H$12+'Financial Model High Ethane'!BV13*'Cracker Yields'!$I$12+'Financial Model High Ethane'!BV14*'Cracker Yields'!$J$12+'Financial Model High Ethane'!BV15*'Cracker Yields'!$K$12</f>
        <v>1772.2346400000001</v>
      </c>
      <c r="BW22" s="408">
        <f>BW12*'Cracker Yields'!$H$12+'Financial Model High Ethane'!BW13*'Cracker Yields'!$I$12+'Financial Model High Ethane'!BW14*'Cracker Yields'!$J$12+'Financial Model High Ethane'!BW15*'Cracker Yields'!$K$12</f>
        <v>1772.2346400000001</v>
      </c>
      <c r="BX22" s="408">
        <f>BX12*'Cracker Yields'!$H$12+'Financial Model High Ethane'!BX13*'Cracker Yields'!$I$12+'Financial Model High Ethane'!BX14*'Cracker Yields'!$J$12+'Financial Model High Ethane'!BX15*'Cracker Yields'!$K$12</f>
        <v>1772.2346400000001</v>
      </c>
      <c r="BY22" s="408">
        <f>BY12*'Cracker Yields'!$H$12+'Financial Model High Ethane'!BY13*'Cracker Yields'!$I$12+'Financial Model High Ethane'!BY14*'Cracker Yields'!$J$12+'Financial Model High Ethane'!BY15*'Cracker Yields'!$K$12</f>
        <v>1772.2346400000001</v>
      </c>
      <c r="BZ22" s="408">
        <f>BZ12*'Cracker Yields'!$H$12+'Financial Model High Ethane'!BZ13*'Cracker Yields'!$I$12+'Financial Model High Ethane'!BZ14*'Cracker Yields'!$J$12+'Financial Model High Ethane'!BZ15*'Cracker Yields'!$K$12</f>
        <v>1772.2346400000001</v>
      </c>
      <c r="CA22" s="408">
        <f>CA12*'Cracker Yields'!$H$12+'Financial Model High Ethane'!CA13*'Cracker Yields'!$I$12+'Financial Model High Ethane'!CA14*'Cracker Yields'!$J$12+'Financial Model High Ethane'!CA15*'Cracker Yields'!$K$12</f>
        <v>1772.2346400000001</v>
      </c>
      <c r="CB22" s="408">
        <f>CB12*'Cracker Yields'!$H$12+'Financial Model High Ethane'!CB13*'Cracker Yields'!$I$12+'Financial Model High Ethane'!CB14*'Cracker Yields'!$J$12+'Financial Model High Ethane'!CB15*'Cracker Yields'!$K$12</f>
        <v>1772.2346400000001</v>
      </c>
      <c r="CC22" s="408">
        <f>CC12*'Cracker Yields'!$H$12+'Financial Model High Ethane'!CC13*'Cracker Yields'!$I$12+'Financial Model High Ethane'!CC14*'Cracker Yields'!$J$12+'Financial Model High Ethane'!CC15*'Cracker Yields'!$K$12</f>
        <v>1772.2346400000001</v>
      </c>
      <c r="CD22" s="408">
        <f>CD12*'Cracker Yields'!$H$12+'Financial Model High Ethane'!CD13*'Cracker Yields'!$I$12+'Financial Model High Ethane'!CD14*'Cracker Yields'!$J$12+'Financial Model High Ethane'!CD15*'Cracker Yields'!$K$12</f>
        <v>1772.2346400000001</v>
      </c>
      <c r="CE22" s="408">
        <f>CE12*'Cracker Yields'!$H$12+'Financial Model High Ethane'!CE13*'Cracker Yields'!$I$12+'Financial Model High Ethane'!CE14*'Cracker Yields'!$J$12+'Financial Model High Ethane'!CE15*'Cracker Yields'!$K$12</f>
        <v>1772.2346400000001</v>
      </c>
      <c r="CF22" s="408">
        <f>CF12*'Cracker Yields'!$H$12+'Financial Model High Ethane'!CF13*'Cracker Yields'!$I$12+'Financial Model High Ethane'!CF14*'Cracker Yields'!$J$12+'Financial Model High Ethane'!CF15*'Cracker Yields'!$K$12</f>
        <v>1772.2346400000001</v>
      </c>
      <c r="CG22" s="408">
        <f>CG12*'Cracker Yields'!$H$12+'Financial Model High Ethane'!CG13*'Cracker Yields'!$I$12+'Financial Model High Ethane'!CG14*'Cracker Yields'!$J$12+'Financial Model High Ethane'!CG15*'Cracker Yields'!$K$12</f>
        <v>1772.2346400000001</v>
      </c>
      <c r="CH22" s="408">
        <f>CH12*'Cracker Yields'!$H$12+'Financial Model High Ethane'!CH13*'Cracker Yields'!$I$12+'Financial Model High Ethane'!CH14*'Cracker Yields'!$J$12+'Financial Model High Ethane'!CH15*'Cracker Yields'!$K$12</f>
        <v>1772.2346400000001</v>
      </c>
      <c r="CI22" s="408">
        <f>CI12*'Cracker Yields'!$H$12+'Financial Model High Ethane'!CI13*'Cracker Yields'!$I$12+'Financial Model High Ethane'!CI14*'Cracker Yields'!$J$12+'Financial Model High Ethane'!CI15*'Cracker Yields'!$K$12</f>
        <v>1772.2346400000001</v>
      </c>
      <c r="CJ22" s="408">
        <f>CJ12*'Cracker Yields'!$H$12+'Financial Model High Ethane'!CJ13*'Cracker Yields'!$I$12+'Financial Model High Ethane'!CJ14*'Cracker Yields'!$J$12+'Financial Model High Ethane'!CJ15*'Cracker Yields'!$K$12</f>
        <v>1772.2346400000001</v>
      </c>
      <c r="CK22" s="408">
        <f>CK12*'Cracker Yields'!$H$12+'Financial Model High Ethane'!CK13*'Cracker Yields'!$I$12+'Financial Model High Ethane'!CK14*'Cracker Yields'!$J$12+'Financial Model High Ethane'!CK15*'Cracker Yields'!$K$12</f>
        <v>1772.2346400000001</v>
      </c>
      <c r="CL22" s="408">
        <f>CL12*'Cracker Yields'!$H$12+'Financial Model High Ethane'!CL13*'Cracker Yields'!$I$12+'Financial Model High Ethane'!CL14*'Cracker Yields'!$J$12+'Financial Model High Ethane'!CL15*'Cracker Yields'!$K$12</f>
        <v>1772.2346400000001</v>
      </c>
      <c r="CM22" s="42">
        <f t="shared" si="1"/>
        <v>1772.2346399999997</v>
      </c>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c r="EB22" s="58"/>
      <c r="EC22" s="58"/>
      <c r="ED22" s="58"/>
      <c r="EE22" s="58"/>
      <c r="EF22" s="58"/>
      <c r="EG22" s="58"/>
      <c r="EH22" s="58"/>
      <c r="EI22" s="58"/>
      <c r="EJ22" s="58"/>
      <c r="EK22" s="58"/>
      <c r="EL22" s="58"/>
      <c r="EM22" s="58"/>
      <c r="EN22" s="58"/>
      <c r="EO22" s="58"/>
      <c r="EP22" s="58"/>
      <c r="EQ22" s="58"/>
      <c r="ER22" s="58"/>
      <c r="ES22" s="58"/>
      <c r="ET22" s="58"/>
      <c r="EU22" s="58"/>
      <c r="EV22" s="58"/>
      <c r="EW22" s="58"/>
      <c r="EX22" s="58"/>
      <c r="EY22" s="58"/>
      <c r="EZ22" s="58"/>
      <c r="FA22" s="58"/>
      <c r="FB22" s="58"/>
      <c r="FC22" s="58"/>
      <c r="FD22" s="58"/>
      <c r="FE22" s="58"/>
      <c r="FF22" s="58"/>
      <c r="FG22" s="58"/>
      <c r="FH22" s="58"/>
      <c r="FI22" s="58"/>
      <c r="FJ22" s="58"/>
      <c r="FK22" s="58"/>
      <c r="FL22" s="58"/>
      <c r="FM22" s="58"/>
      <c r="FN22" s="58"/>
      <c r="FO22" s="58"/>
      <c r="FP22" s="58"/>
      <c r="FQ22" s="58"/>
      <c r="FR22" s="58"/>
      <c r="FS22" s="58"/>
      <c r="FT22" s="58"/>
      <c r="FU22" s="58"/>
      <c r="FV22" s="58"/>
    </row>
    <row r="23" spans="1:178">
      <c r="A23" s="1058" t="s">
        <v>317</v>
      </c>
      <c r="B23" s="2" t="s">
        <v>312</v>
      </c>
      <c r="C23" s="362" t="s">
        <v>313</v>
      </c>
      <c r="D23" s="362">
        <v>27.86</v>
      </c>
      <c r="E23" s="58"/>
      <c r="F23" s="382" t="s">
        <v>170</v>
      </c>
      <c r="G23" s="410">
        <f>$D$23*G16/1000</f>
        <v>3187.7597733333328</v>
      </c>
      <c r="H23" s="410">
        <f t="shared" ref="H23:BS23" si="2">$D$23*H16/1000</f>
        <v>3187.7597733333328</v>
      </c>
      <c r="I23" s="410">
        <f t="shared" si="2"/>
        <v>3187.7597733333328</v>
      </c>
      <c r="J23" s="410">
        <f t="shared" si="2"/>
        <v>3187.7597733333328</v>
      </c>
      <c r="K23" s="410">
        <f t="shared" si="2"/>
        <v>3187.7597733333328</v>
      </c>
      <c r="L23" s="410">
        <f t="shared" si="2"/>
        <v>3187.7597733333328</v>
      </c>
      <c r="M23" s="410">
        <f t="shared" si="2"/>
        <v>3187.7597733333328</v>
      </c>
      <c r="N23" s="410">
        <f t="shared" si="2"/>
        <v>3187.7597733333328</v>
      </c>
      <c r="O23" s="410">
        <f t="shared" si="2"/>
        <v>3187.7597733333328</v>
      </c>
      <c r="P23" s="410">
        <f t="shared" si="2"/>
        <v>3187.7597733333328</v>
      </c>
      <c r="Q23" s="410">
        <f t="shared" si="2"/>
        <v>3187.7597733333328</v>
      </c>
      <c r="R23" s="410">
        <f t="shared" si="2"/>
        <v>3187.7597733333328</v>
      </c>
      <c r="S23" s="410">
        <f t="shared" si="2"/>
        <v>3187.7597733333328</v>
      </c>
      <c r="T23" s="410">
        <f t="shared" si="2"/>
        <v>3187.7597733333328</v>
      </c>
      <c r="U23" s="410">
        <f t="shared" si="2"/>
        <v>3187.7597733333328</v>
      </c>
      <c r="V23" s="410">
        <f t="shared" si="2"/>
        <v>3187.7597733333328</v>
      </c>
      <c r="W23" s="410">
        <f t="shared" si="2"/>
        <v>3187.7597733333328</v>
      </c>
      <c r="X23" s="410">
        <f t="shared" si="2"/>
        <v>3187.7597733333328</v>
      </c>
      <c r="Y23" s="410">
        <f t="shared" si="2"/>
        <v>3187.7597733333328</v>
      </c>
      <c r="Z23" s="410">
        <f t="shared" si="2"/>
        <v>3187.7597733333328</v>
      </c>
      <c r="AA23" s="410">
        <f t="shared" si="2"/>
        <v>3187.7597733333328</v>
      </c>
      <c r="AB23" s="410">
        <f t="shared" si="2"/>
        <v>3187.7597733333328</v>
      </c>
      <c r="AC23" s="410">
        <f t="shared" si="2"/>
        <v>3187.7597733333328</v>
      </c>
      <c r="AD23" s="410">
        <f t="shared" si="2"/>
        <v>3187.7597733333328</v>
      </c>
      <c r="AE23" s="410">
        <f t="shared" si="2"/>
        <v>3187.7597733333328</v>
      </c>
      <c r="AF23" s="410">
        <f t="shared" si="2"/>
        <v>3187.7597733333328</v>
      </c>
      <c r="AG23" s="410">
        <f t="shared" si="2"/>
        <v>3187.7597733333328</v>
      </c>
      <c r="AH23" s="410">
        <f t="shared" si="2"/>
        <v>3187.7597733333328</v>
      </c>
      <c r="AI23" s="410">
        <f t="shared" si="2"/>
        <v>3187.7597733333328</v>
      </c>
      <c r="AJ23" s="410">
        <f t="shared" si="2"/>
        <v>3187.7597733333328</v>
      </c>
      <c r="AK23" s="410">
        <f t="shared" si="2"/>
        <v>3187.7597733333328</v>
      </c>
      <c r="AL23" s="410">
        <f t="shared" si="2"/>
        <v>3187.7597733333328</v>
      </c>
      <c r="AM23" s="410">
        <f t="shared" si="2"/>
        <v>3187.7597733333328</v>
      </c>
      <c r="AN23" s="410">
        <f t="shared" si="2"/>
        <v>3187.7597733333328</v>
      </c>
      <c r="AO23" s="410">
        <f t="shared" si="2"/>
        <v>3187.7597733333328</v>
      </c>
      <c r="AP23" s="410">
        <f t="shared" si="2"/>
        <v>3187.7597733333328</v>
      </c>
      <c r="AQ23" s="410">
        <f t="shared" si="2"/>
        <v>3187.7597733333328</v>
      </c>
      <c r="AR23" s="410">
        <f t="shared" si="2"/>
        <v>3187.7597733333328</v>
      </c>
      <c r="AS23" s="410">
        <f t="shared" si="2"/>
        <v>3187.7597733333328</v>
      </c>
      <c r="AT23" s="410">
        <f t="shared" si="2"/>
        <v>3187.7597733333328</v>
      </c>
      <c r="AU23" s="410">
        <f t="shared" si="2"/>
        <v>3187.7597733333328</v>
      </c>
      <c r="AV23" s="410">
        <f t="shared" si="2"/>
        <v>3187.7597733333328</v>
      </c>
      <c r="AW23" s="410">
        <f t="shared" si="2"/>
        <v>3187.7597733333328</v>
      </c>
      <c r="AX23" s="410">
        <f t="shared" si="2"/>
        <v>3187.7597733333328</v>
      </c>
      <c r="AY23" s="410">
        <f t="shared" si="2"/>
        <v>3187.7597733333328</v>
      </c>
      <c r="AZ23" s="410">
        <f t="shared" si="2"/>
        <v>3187.7597733333328</v>
      </c>
      <c r="BA23" s="410">
        <f t="shared" si="2"/>
        <v>3187.7597733333328</v>
      </c>
      <c r="BB23" s="410">
        <f t="shared" si="2"/>
        <v>3187.7597733333328</v>
      </c>
      <c r="BC23" s="410">
        <f t="shared" si="2"/>
        <v>3187.7597733333328</v>
      </c>
      <c r="BD23" s="410">
        <f t="shared" si="2"/>
        <v>3187.7597733333328</v>
      </c>
      <c r="BE23" s="410">
        <f t="shared" si="2"/>
        <v>3187.7597733333328</v>
      </c>
      <c r="BF23" s="410">
        <f t="shared" si="2"/>
        <v>3187.7597733333328</v>
      </c>
      <c r="BG23" s="410">
        <f t="shared" si="2"/>
        <v>3187.7597733333328</v>
      </c>
      <c r="BH23" s="410">
        <f t="shared" si="2"/>
        <v>3187.7597733333328</v>
      </c>
      <c r="BI23" s="410">
        <f t="shared" si="2"/>
        <v>3187.7597733333328</v>
      </c>
      <c r="BJ23" s="410">
        <f t="shared" si="2"/>
        <v>3187.7597733333328</v>
      </c>
      <c r="BK23" s="410">
        <f t="shared" si="2"/>
        <v>3187.7597733333328</v>
      </c>
      <c r="BL23" s="410">
        <f t="shared" si="2"/>
        <v>3187.7597733333328</v>
      </c>
      <c r="BM23" s="410">
        <f t="shared" si="2"/>
        <v>3187.7597733333328</v>
      </c>
      <c r="BN23" s="410">
        <f t="shared" si="2"/>
        <v>3187.7597733333328</v>
      </c>
      <c r="BO23" s="410">
        <f t="shared" si="2"/>
        <v>3187.7597733333328</v>
      </c>
      <c r="BP23" s="410">
        <f t="shared" si="2"/>
        <v>3187.7597733333328</v>
      </c>
      <c r="BQ23" s="410">
        <f t="shared" si="2"/>
        <v>3187.7597733333328</v>
      </c>
      <c r="BR23" s="410">
        <f t="shared" si="2"/>
        <v>3187.7597733333328</v>
      </c>
      <c r="BS23" s="410">
        <f t="shared" si="2"/>
        <v>3187.7597733333328</v>
      </c>
      <c r="BT23" s="410">
        <f t="shared" ref="BT23:CL23" si="3">$D$23*BT16/1000</f>
        <v>3187.7597733333328</v>
      </c>
      <c r="BU23" s="410">
        <f t="shared" si="3"/>
        <v>3187.7597733333328</v>
      </c>
      <c r="BV23" s="410">
        <f t="shared" si="3"/>
        <v>3187.7597733333328</v>
      </c>
      <c r="BW23" s="410">
        <f t="shared" si="3"/>
        <v>3187.7597733333328</v>
      </c>
      <c r="BX23" s="410">
        <f t="shared" si="3"/>
        <v>3187.7597733333328</v>
      </c>
      <c r="BY23" s="410">
        <f t="shared" si="3"/>
        <v>3187.7597733333328</v>
      </c>
      <c r="BZ23" s="410">
        <f t="shared" si="3"/>
        <v>3187.7597733333328</v>
      </c>
      <c r="CA23" s="410">
        <f t="shared" si="3"/>
        <v>3187.7597733333328</v>
      </c>
      <c r="CB23" s="410">
        <f t="shared" si="3"/>
        <v>3187.7597733333328</v>
      </c>
      <c r="CC23" s="410">
        <f t="shared" si="3"/>
        <v>3187.7597733333328</v>
      </c>
      <c r="CD23" s="410">
        <f t="shared" si="3"/>
        <v>3187.7597733333328</v>
      </c>
      <c r="CE23" s="410">
        <f t="shared" si="3"/>
        <v>3187.7597733333328</v>
      </c>
      <c r="CF23" s="410">
        <f t="shared" si="3"/>
        <v>3187.7597733333328</v>
      </c>
      <c r="CG23" s="410">
        <f t="shared" si="3"/>
        <v>3187.7597733333328</v>
      </c>
      <c r="CH23" s="410">
        <f t="shared" si="3"/>
        <v>3187.7597733333328</v>
      </c>
      <c r="CI23" s="410">
        <f t="shared" si="3"/>
        <v>3187.7597733333328</v>
      </c>
      <c r="CJ23" s="410">
        <f t="shared" si="3"/>
        <v>3187.7597733333328</v>
      </c>
      <c r="CK23" s="410">
        <f t="shared" si="3"/>
        <v>3187.7597733333328</v>
      </c>
      <c r="CL23" s="410">
        <f t="shared" si="3"/>
        <v>3187.7597733333328</v>
      </c>
      <c r="CM23" s="410">
        <f t="shared" si="1"/>
        <v>3187.7597733333296</v>
      </c>
      <c r="CN23" s="58"/>
      <c r="CO23" s="58"/>
      <c r="CP23" s="58"/>
      <c r="CQ23" s="58"/>
      <c r="CR23" s="58"/>
      <c r="CS23" s="58"/>
      <c r="CT23" s="58"/>
      <c r="CU23" s="58"/>
      <c r="CV23" s="58"/>
      <c r="CW23" s="58"/>
      <c r="CX23" s="58"/>
      <c r="CY23" s="58"/>
      <c r="CZ23" s="58"/>
      <c r="DA23" s="58"/>
      <c r="DB23" s="58"/>
      <c r="DC23" s="58"/>
      <c r="DD23" s="58"/>
      <c r="DE23" s="58"/>
      <c r="DF23" s="58"/>
      <c r="DG23" s="58"/>
      <c r="DH23" s="58"/>
      <c r="DI23" s="58"/>
      <c r="DJ23" s="58"/>
      <c r="DK23" s="58"/>
      <c r="DL23" s="58"/>
      <c r="DM23" s="58"/>
      <c r="DN23" s="58"/>
      <c r="DO23" s="58"/>
      <c r="DP23" s="58"/>
      <c r="DQ23" s="58"/>
      <c r="DR23" s="58"/>
      <c r="DS23" s="58"/>
      <c r="DT23" s="58"/>
      <c r="DU23" s="58"/>
      <c r="DV23" s="58"/>
      <c r="DW23" s="58"/>
      <c r="DX23" s="58"/>
      <c r="DY23" s="58"/>
      <c r="DZ23" s="58"/>
      <c r="EA23" s="58"/>
      <c r="EB23" s="58"/>
      <c r="EC23" s="58"/>
      <c r="ED23" s="58"/>
      <c r="EE23" s="58"/>
      <c r="EF23" s="58"/>
      <c r="EG23" s="58"/>
      <c r="EH23" s="58"/>
      <c r="EI23" s="58"/>
      <c r="EJ23" s="58"/>
      <c r="EK23" s="58"/>
      <c r="EL23" s="58"/>
      <c r="EM23" s="58"/>
      <c r="EN23" s="58"/>
      <c r="EO23" s="58"/>
      <c r="EP23" s="58"/>
      <c r="EQ23" s="58"/>
      <c r="ER23" s="58"/>
      <c r="ES23" s="58"/>
      <c r="ET23" s="58"/>
      <c r="EU23" s="58"/>
      <c r="EV23" s="58"/>
      <c r="EW23" s="58"/>
      <c r="EX23" s="58"/>
      <c r="EY23" s="58"/>
      <c r="EZ23" s="58"/>
      <c r="FA23" s="58"/>
      <c r="FB23" s="58"/>
      <c r="FC23" s="58"/>
      <c r="FD23" s="58"/>
      <c r="FE23" s="58"/>
      <c r="FF23" s="58"/>
      <c r="FG23" s="58"/>
      <c r="FH23" s="58"/>
      <c r="FI23" s="58"/>
      <c r="FJ23" s="58"/>
      <c r="FK23" s="58"/>
      <c r="FL23" s="58"/>
      <c r="FM23" s="58"/>
      <c r="FN23" s="58"/>
      <c r="FO23" s="58"/>
      <c r="FP23" s="58"/>
      <c r="FQ23" s="58"/>
      <c r="FR23" s="58"/>
      <c r="FS23" s="58"/>
      <c r="FT23" s="58"/>
      <c r="FU23" s="58"/>
      <c r="FV23" s="58"/>
    </row>
    <row r="24" spans="1:178">
      <c r="A24" s="1058"/>
      <c r="B24" s="2" t="s">
        <v>312</v>
      </c>
      <c r="C24" s="362" t="s">
        <v>313</v>
      </c>
      <c r="D24" s="362">
        <v>0.23</v>
      </c>
      <c r="E24" s="58"/>
      <c r="F24" s="382" t="s">
        <v>171</v>
      </c>
      <c r="G24" s="410">
        <f>$D$24*G13</f>
        <v>4695.8333333333339</v>
      </c>
      <c r="H24" s="410">
        <f t="shared" ref="H24:BS24" si="4">$D$24*H13</f>
        <v>4695.8333333333339</v>
      </c>
      <c r="I24" s="410">
        <f t="shared" si="4"/>
        <v>4695.8333333333339</v>
      </c>
      <c r="J24" s="410">
        <f t="shared" si="4"/>
        <v>4695.8333333333339</v>
      </c>
      <c r="K24" s="410">
        <f t="shared" si="4"/>
        <v>4695.8333333333339</v>
      </c>
      <c r="L24" s="410">
        <f t="shared" si="4"/>
        <v>4695.8333333333339</v>
      </c>
      <c r="M24" s="410">
        <f t="shared" si="4"/>
        <v>4695.8333333333339</v>
      </c>
      <c r="N24" s="410">
        <f t="shared" si="4"/>
        <v>4695.8333333333339</v>
      </c>
      <c r="O24" s="410">
        <f t="shared" si="4"/>
        <v>4695.8333333333339</v>
      </c>
      <c r="P24" s="410">
        <f t="shared" si="4"/>
        <v>4695.8333333333339</v>
      </c>
      <c r="Q24" s="410">
        <f t="shared" si="4"/>
        <v>4695.8333333333339</v>
      </c>
      <c r="R24" s="410">
        <f t="shared" si="4"/>
        <v>4695.8333333333339</v>
      </c>
      <c r="S24" s="410">
        <f t="shared" si="4"/>
        <v>4695.8333333333339</v>
      </c>
      <c r="T24" s="410">
        <f t="shared" si="4"/>
        <v>4695.8333333333339</v>
      </c>
      <c r="U24" s="410">
        <f t="shared" si="4"/>
        <v>4695.8333333333339</v>
      </c>
      <c r="V24" s="410">
        <f t="shared" si="4"/>
        <v>4695.8333333333339</v>
      </c>
      <c r="W24" s="410">
        <f t="shared" si="4"/>
        <v>4695.8333333333339</v>
      </c>
      <c r="X24" s="410">
        <f t="shared" si="4"/>
        <v>4695.8333333333339</v>
      </c>
      <c r="Y24" s="410">
        <f t="shared" si="4"/>
        <v>4695.8333333333339</v>
      </c>
      <c r="Z24" s="410">
        <f t="shared" si="4"/>
        <v>4695.8333333333339</v>
      </c>
      <c r="AA24" s="410">
        <f t="shared" si="4"/>
        <v>4695.8333333333339</v>
      </c>
      <c r="AB24" s="410">
        <f t="shared" si="4"/>
        <v>4695.8333333333339</v>
      </c>
      <c r="AC24" s="410">
        <f t="shared" si="4"/>
        <v>4695.8333333333339</v>
      </c>
      <c r="AD24" s="410">
        <f t="shared" si="4"/>
        <v>4695.8333333333339</v>
      </c>
      <c r="AE24" s="410">
        <f t="shared" si="4"/>
        <v>4695.8333333333339</v>
      </c>
      <c r="AF24" s="410">
        <f t="shared" si="4"/>
        <v>4695.8333333333339</v>
      </c>
      <c r="AG24" s="410">
        <f t="shared" si="4"/>
        <v>4695.8333333333339</v>
      </c>
      <c r="AH24" s="410">
        <f t="shared" si="4"/>
        <v>4695.8333333333339</v>
      </c>
      <c r="AI24" s="410">
        <f t="shared" si="4"/>
        <v>4695.8333333333339</v>
      </c>
      <c r="AJ24" s="410">
        <f t="shared" si="4"/>
        <v>4695.8333333333339</v>
      </c>
      <c r="AK24" s="410">
        <f t="shared" si="4"/>
        <v>4695.8333333333339</v>
      </c>
      <c r="AL24" s="410">
        <f t="shared" si="4"/>
        <v>4695.8333333333339</v>
      </c>
      <c r="AM24" s="410">
        <f t="shared" si="4"/>
        <v>4695.8333333333339</v>
      </c>
      <c r="AN24" s="410">
        <f t="shared" si="4"/>
        <v>4695.8333333333339</v>
      </c>
      <c r="AO24" s="410">
        <f t="shared" si="4"/>
        <v>4695.8333333333339</v>
      </c>
      <c r="AP24" s="410">
        <f t="shared" si="4"/>
        <v>4695.8333333333339</v>
      </c>
      <c r="AQ24" s="410">
        <f t="shared" si="4"/>
        <v>4695.8333333333339</v>
      </c>
      <c r="AR24" s="410">
        <f t="shared" si="4"/>
        <v>4695.8333333333339</v>
      </c>
      <c r="AS24" s="410">
        <f t="shared" si="4"/>
        <v>4695.8333333333339</v>
      </c>
      <c r="AT24" s="410">
        <f t="shared" si="4"/>
        <v>4695.8333333333339</v>
      </c>
      <c r="AU24" s="410">
        <f t="shared" si="4"/>
        <v>4695.8333333333339</v>
      </c>
      <c r="AV24" s="410">
        <f t="shared" si="4"/>
        <v>4695.8333333333339</v>
      </c>
      <c r="AW24" s="410">
        <f t="shared" si="4"/>
        <v>4695.8333333333339</v>
      </c>
      <c r="AX24" s="410">
        <f t="shared" si="4"/>
        <v>4695.8333333333339</v>
      </c>
      <c r="AY24" s="410">
        <f t="shared" si="4"/>
        <v>4695.8333333333339</v>
      </c>
      <c r="AZ24" s="410">
        <f t="shared" si="4"/>
        <v>4695.8333333333339</v>
      </c>
      <c r="BA24" s="410">
        <f t="shared" si="4"/>
        <v>4695.8333333333339</v>
      </c>
      <c r="BB24" s="410">
        <f t="shared" si="4"/>
        <v>4695.8333333333339</v>
      </c>
      <c r="BC24" s="410">
        <f t="shared" si="4"/>
        <v>4695.8333333333339</v>
      </c>
      <c r="BD24" s="410">
        <f t="shared" si="4"/>
        <v>4695.8333333333339</v>
      </c>
      <c r="BE24" s="410">
        <f t="shared" si="4"/>
        <v>4695.8333333333339</v>
      </c>
      <c r="BF24" s="410">
        <f t="shared" si="4"/>
        <v>4695.8333333333339</v>
      </c>
      <c r="BG24" s="410">
        <f t="shared" si="4"/>
        <v>4695.8333333333339</v>
      </c>
      <c r="BH24" s="410">
        <f t="shared" si="4"/>
        <v>4695.8333333333339</v>
      </c>
      <c r="BI24" s="410">
        <f t="shared" si="4"/>
        <v>4695.8333333333339</v>
      </c>
      <c r="BJ24" s="410">
        <f t="shared" si="4"/>
        <v>4695.8333333333339</v>
      </c>
      <c r="BK24" s="410">
        <f t="shared" si="4"/>
        <v>4695.8333333333339</v>
      </c>
      <c r="BL24" s="410">
        <f t="shared" si="4"/>
        <v>4695.8333333333339</v>
      </c>
      <c r="BM24" s="410">
        <f t="shared" si="4"/>
        <v>4695.8333333333339</v>
      </c>
      <c r="BN24" s="410">
        <f t="shared" si="4"/>
        <v>4695.8333333333339</v>
      </c>
      <c r="BO24" s="410">
        <f t="shared" si="4"/>
        <v>4695.8333333333339</v>
      </c>
      <c r="BP24" s="410">
        <f t="shared" si="4"/>
        <v>4695.8333333333339</v>
      </c>
      <c r="BQ24" s="410">
        <f t="shared" si="4"/>
        <v>4695.8333333333339</v>
      </c>
      <c r="BR24" s="410">
        <f t="shared" si="4"/>
        <v>4695.8333333333339</v>
      </c>
      <c r="BS24" s="410">
        <f t="shared" si="4"/>
        <v>4695.8333333333339</v>
      </c>
      <c r="BT24" s="410">
        <f t="shared" ref="BT24:CL24" si="5">$D$24*BT13</f>
        <v>4695.8333333333339</v>
      </c>
      <c r="BU24" s="410">
        <f t="shared" si="5"/>
        <v>4695.8333333333339</v>
      </c>
      <c r="BV24" s="410">
        <f t="shared" si="5"/>
        <v>4695.8333333333339</v>
      </c>
      <c r="BW24" s="410">
        <f t="shared" si="5"/>
        <v>4695.8333333333339</v>
      </c>
      <c r="BX24" s="410">
        <f t="shared" si="5"/>
        <v>4695.8333333333339</v>
      </c>
      <c r="BY24" s="410">
        <f t="shared" si="5"/>
        <v>4695.8333333333339</v>
      </c>
      <c r="BZ24" s="410">
        <f t="shared" si="5"/>
        <v>4695.8333333333339</v>
      </c>
      <c r="CA24" s="410">
        <f t="shared" si="5"/>
        <v>4695.8333333333339</v>
      </c>
      <c r="CB24" s="410">
        <f t="shared" si="5"/>
        <v>4695.8333333333339</v>
      </c>
      <c r="CC24" s="410">
        <f t="shared" si="5"/>
        <v>4695.8333333333339</v>
      </c>
      <c r="CD24" s="410">
        <f t="shared" si="5"/>
        <v>4695.8333333333339</v>
      </c>
      <c r="CE24" s="410">
        <f t="shared" si="5"/>
        <v>4695.8333333333339</v>
      </c>
      <c r="CF24" s="410">
        <f t="shared" si="5"/>
        <v>4695.8333333333339</v>
      </c>
      <c r="CG24" s="410">
        <f t="shared" si="5"/>
        <v>4695.8333333333339</v>
      </c>
      <c r="CH24" s="410">
        <f t="shared" si="5"/>
        <v>4695.8333333333339</v>
      </c>
      <c r="CI24" s="410">
        <f t="shared" si="5"/>
        <v>4695.8333333333339</v>
      </c>
      <c r="CJ24" s="410">
        <f t="shared" si="5"/>
        <v>4695.8333333333339</v>
      </c>
      <c r="CK24" s="410">
        <f t="shared" si="5"/>
        <v>4695.8333333333339</v>
      </c>
      <c r="CL24" s="410">
        <f t="shared" si="5"/>
        <v>4695.8333333333339</v>
      </c>
      <c r="CM24" s="410">
        <f t="shared" si="1"/>
        <v>4695.8333333333294</v>
      </c>
      <c r="CN24" s="58"/>
      <c r="CO24" s="58"/>
      <c r="CP24" s="58"/>
      <c r="CQ24" s="58"/>
      <c r="CR24" s="58"/>
      <c r="CS24" s="58"/>
      <c r="CT24" s="58"/>
      <c r="CU24" s="58"/>
      <c r="CV24" s="58"/>
      <c r="CW24" s="58"/>
      <c r="CX24" s="58"/>
      <c r="CY24" s="58"/>
      <c r="CZ24" s="58"/>
      <c r="DA24" s="58"/>
      <c r="DB24" s="58"/>
      <c r="DC24" s="58"/>
      <c r="DD24" s="58"/>
      <c r="DE24" s="58"/>
      <c r="DF24" s="58"/>
      <c r="DG24" s="58"/>
      <c r="DH24" s="58"/>
      <c r="DI24" s="58"/>
      <c r="DJ24" s="58"/>
      <c r="DK24" s="58"/>
      <c r="DL24" s="58"/>
      <c r="DM24" s="58"/>
      <c r="DN24" s="58"/>
      <c r="DO24" s="58"/>
      <c r="DP24" s="58"/>
      <c r="DQ24" s="58"/>
      <c r="DR24" s="58"/>
      <c r="DS24" s="58"/>
      <c r="DT24" s="58"/>
      <c r="DU24" s="58"/>
      <c r="DV24" s="58"/>
      <c r="DW24" s="58"/>
      <c r="DX24" s="58"/>
      <c r="DY24" s="58"/>
      <c r="DZ24" s="58"/>
      <c r="EA24" s="58"/>
      <c r="EB24" s="58"/>
      <c r="EC24" s="58"/>
      <c r="ED24" s="58"/>
      <c r="EE24" s="58"/>
      <c r="EF24" s="58"/>
      <c r="EG24" s="58"/>
      <c r="EH24" s="58"/>
      <c r="EI24" s="58"/>
      <c r="EJ24" s="58"/>
      <c r="EK24" s="58"/>
      <c r="EL24" s="58"/>
      <c r="EM24" s="58"/>
      <c r="EN24" s="58"/>
      <c r="EO24" s="58"/>
      <c r="EP24" s="58"/>
      <c r="EQ24" s="58"/>
      <c r="ER24" s="58"/>
      <c r="ES24" s="58"/>
      <c r="ET24" s="58"/>
      <c r="EU24" s="58"/>
      <c r="EV24" s="58"/>
      <c r="EW24" s="58"/>
      <c r="EX24" s="58"/>
      <c r="EY24" s="58"/>
      <c r="EZ24" s="58"/>
      <c r="FA24" s="58"/>
      <c r="FB24" s="58"/>
      <c r="FC24" s="58"/>
      <c r="FD24" s="58"/>
      <c r="FE24" s="58"/>
      <c r="FF24" s="58"/>
      <c r="FG24" s="58"/>
      <c r="FH24" s="58"/>
      <c r="FI24" s="58"/>
      <c r="FJ24" s="58"/>
      <c r="FK24" s="58"/>
      <c r="FL24" s="58"/>
      <c r="FM24" s="58"/>
      <c r="FN24" s="58"/>
      <c r="FO24" s="58"/>
      <c r="FP24" s="58"/>
      <c r="FQ24" s="58"/>
      <c r="FR24" s="58"/>
      <c r="FS24" s="58"/>
      <c r="FT24" s="58"/>
      <c r="FU24" s="58"/>
      <c r="FV24" s="58"/>
    </row>
    <row r="25" spans="1:178">
      <c r="A25" s="1058"/>
      <c r="B25" s="2" t="s">
        <v>312</v>
      </c>
      <c r="C25" s="362" t="s">
        <v>313</v>
      </c>
      <c r="D25" s="362">
        <v>0.26500000000000001</v>
      </c>
      <c r="E25" s="58"/>
      <c r="F25" s="382" t="s">
        <v>172</v>
      </c>
      <c r="G25" s="410">
        <f>$D$25*G14</f>
        <v>3003.3333333333335</v>
      </c>
      <c r="H25" s="410">
        <f t="shared" ref="H25:BS25" si="6">$D$25*H14</f>
        <v>3003.3333333333335</v>
      </c>
      <c r="I25" s="410">
        <f t="shared" si="6"/>
        <v>3003.3333333333335</v>
      </c>
      <c r="J25" s="410">
        <f t="shared" si="6"/>
        <v>3003.3333333333335</v>
      </c>
      <c r="K25" s="410">
        <f t="shared" si="6"/>
        <v>3003.3333333333335</v>
      </c>
      <c r="L25" s="410">
        <f t="shared" si="6"/>
        <v>3003.3333333333335</v>
      </c>
      <c r="M25" s="410">
        <f t="shared" si="6"/>
        <v>3003.3333333333335</v>
      </c>
      <c r="N25" s="410">
        <f t="shared" si="6"/>
        <v>3003.3333333333335</v>
      </c>
      <c r="O25" s="410">
        <f t="shared" si="6"/>
        <v>3003.3333333333335</v>
      </c>
      <c r="P25" s="410">
        <f t="shared" si="6"/>
        <v>3003.3333333333335</v>
      </c>
      <c r="Q25" s="410">
        <f t="shared" si="6"/>
        <v>3003.3333333333335</v>
      </c>
      <c r="R25" s="410">
        <f t="shared" si="6"/>
        <v>3003.3333333333335</v>
      </c>
      <c r="S25" s="410">
        <f t="shared" si="6"/>
        <v>3003.3333333333335</v>
      </c>
      <c r="T25" s="410">
        <f t="shared" si="6"/>
        <v>3003.3333333333335</v>
      </c>
      <c r="U25" s="410">
        <f t="shared" si="6"/>
        <v>3003.3333333333335</v>
      </c>
      <c r="V25" s="410">
        <f t="shared" si="6"/>
        <v>3003.3333333333335</v>
      </c>
      <c r="W25" s="410">
        <f t="shared" si="6"/>
        <v>3003.3333333333335</v>
      </c>
      <c r="X25" s="410">
        <f t="shared" si="6"/>
        <v>3003.3333333333335</v>
      </c>
      <c r="Y25" s="410">
        <f t="shared" si="6"/>
        <v>3003.3333333333335</v>
      </c>
      <c r="Z25" s="410">
        <f t="shared" si="6"/>
        <v>3003.3333333333335</v>
      </c>
      <c r="AA25" s="410">
        <f t="shared" si="6"/>
        <v>3003.3333333333335</v>
      </c>
      <c r="AB25" s="410">
        <f t="shared" si="6"/>
        <v>3003.3333333333335</v>
      </c>
      <c r="AC25" s="410">
        <f t="shared" si="6"/>
        <v>3003.3333333333335</v>
      </c>
      <c r="AD25" s="410">
        <f t="shared" si="6"/>
        <v>3003.3333333333335</v>
      </c>
      <c r="AE25" s="410">
        <f t="shared" si="6"/>
        <v>3003.3333333333335</v>
      </c>
      <c r="AF25" s="410">
        <f t="shared" si="6"/>
        <v>3003.3333333333335</v>
      </c>
      <c r="AG25" s="410">
        <f t="shared" si="6"/>
        <v>3003.3333333333335</v>
      </c>
      <c r="AH25" s="410">
        <f t="shared" si="6"/>
        <v>3003.3333333333335</v>
      </c>
      <c r="AI25" s="410">
        <f t="shared" si="6"/>
        <v>3003.3333333333335</v>
      </c>
      <c r="AJ25" s="410">
        <f t="shared" si="6"/>
        <v>3003.3333333333335</v>
      </c>
      <c r="AK25" s="410">
        <f t="shared" si="6"/>
        <v>3003.3333333333335</v>
      </c>
      <c r="AL25" s="410">
        <f t="shared" si="6"/>
        <v>3003.3333333333335</v>
      </c>
      <c r="AM25" s="410">
        <f t="shared" si="6"/>
        <v>3003.3333333333335</v>
      </c>
      <c r="AN25" s="410">
        <f t="shared" si="6"/>
        <v>3003.3333333333335</v>
      </c>
      <c r="AO25" s="410">
        <f t="shared" si="6"/>
        <v>3003.3333333333335</v>
      </c>
      <c r="AP25" s="410">
        <f t="shared" si="6"/>
        <v>3003.3333333333335</v>
      </c>
      <c r="AQ25" s="410">
        <f t="shared" si="6"/>
        <v>3003.3333333333335</v>
      </c>
      <c r="AR25" s="410">
        <f t="shared" si="6"/>
        <v>3003.3333333333335</v>
      </c>
      <c r="AS25" s="410">
        <f t="shared" si="6"/>
        <v>3003.3333333333335</v>
      </c>
      <c r="AT25" s="410">
        <f t="shared" si="6"/>
        <v>3003.3333333333335</v>
      </c>
      <c r="AU25" s="410">
        <f t="shared" si="6"/>
        <v>3003.3333333333335</v>
      </c>
      <c r="AV25" s="410">
        <f t="shared" si="6"/>
        <v>3003.3333333333335</v>
      </c>
      <c r="AW25" s="410">
        <f t="shared" si="6"/>
        <v>3003.3333333333335</v>
      </c>
      <c r="AX25" s="410">
        <f t="shared" si="6"/>
        <v>3003.3333333333335</v>
      </c>
      <c r="AY25" s="410">
        <f t="shared" si="6"/>
        <v>3003.3333333333335</v>
      </c>
      <c r="AZ25" s="410">
        <f t="shared" si="6"/>
        <v>3003.3333333333335</v>
      </c>
      <c r="BA25" s="410">
        <f t="shared" si="6"/>
        <v>3003.3333333333335</v>
      </c>
      <c r="BB25" s="410">
        <f t="shared" si="6"/>
        <v>3003.3333333333335</v>
      </c>
      <c r="BC25" s="410">
        <f t="shared" si="6"/>
        <v>3003.3333333333335</v>
      </c>
      <c r="BD25" s="410">
        <f t="shared" si="6"/>
        <v>3003.3333333333335</v>
      </c>
      <c r="BE25" s="410">
        <f t="shared" si="6"/>
        <v>3003.3333333333335</v>
      </c>
      <c r="BF25" s="410">
        <f t="shared" si="6"/>
        <v>3003.3333333333335</v>
      </c>
      <c r="BG25" s="410">
        <f t="shared" si="6"/>
        <v>3003.3333333333335</v>
      </c>
      <c r="BH25" s="410">
        <f t="shared" si="6"/>
        <v>3003.3333333333335</v>
      </c>
      <c r="BI25" s="410">
        <f t="shared" si="6"/>
        <v>3003.3333333333335</v>
      </c>
      <c r="BJ25" s="410">
        <f t="shared" si="6"/>
        <v>3003.3333333333335</v>
      </c>
      <c r="BK25" s="410">
        <f t="shared" si="6"/>
        <v>3003.3333333333335</v>
      </c>
      <c r="BL25" s="410">
        <f t="shared" si="6"/>
        <v>3003.3333333333335</v>
      </c>
      <c r="BM25" s="410">
        <f t="shared" si="6"/>
        <v>3003.3333333333335</v>
      </c>
      <c r="BN25" s="410">
        <f t="shared" si="6"/>
        <v>3003.3333333333335</v>
      </c>
      <c r="BO25" s="410">
        <f t="shared" si="6"/>
        <v>3003.3333333333335</v>
      </c>
      <c r="BP25" s="410">
        <f t="shared" si="6"/>
        <v>3003.3333333333335</v>
      </c>
      <c r="BQ25" s="410">
        <f t="shared" si="6"/>
        <v>3003.3333333333335</v>
      </c>
      <c r="BR25" s="410">
        <f t="shared" si="6"/>
        <v>3003.3333333333335</v>
      </c>
      <c r="BS25" s="410">
        <f t="shared" si="6"/>
        <v>3003.3333333333335</v>
      </c>
      <c r="BT25" s="410">
        <f t="shared" ref="BT25:CL25" si="7">$D$25*BT14</f>
        <v>3003.3333333333335</v>
      </c>
      <c r="BU25" s="410">
        <f t="shared" si="7"/>
        <v>3003.3333333333335</v>
      </c>
      <c r="BV25" s="410">
        <f t="shared" si="7"/>
        <v>3003.3333333333335</v>
      </c>
      <c r="BW25" s="410">
        <f t="shared" si="7"/>
        <v>3003.3333333333335</v>
      </c>
      <c r="BX25" s="410">
        <f t="shared" si="7"/>
        <v>3003.3333333333335</v>
      </c>
      <c r="BY25" s="410">
        <f t="shared" si="7"/>
        <v>3003.3333333333335</v>
      </c>
      <c r="BZ25" s="410">
        <f t="shared" si="7"/>
        <v>3003.3333333333335</v>
      </c>
      <c r="CA25" s="410">
        <f t="shared" si="7"/>
        <v>3003.3333333333335</v>
      </c>
      <c r="CB25" s="410">
        <f t="shared" si="7"/>
        <v>3003.3333333333335</v>
      </c>
      <c r="CC25" s="410">
        <f t="shared" si="7"/>
        <v>3003.3333333333335</v>
      </c>
      <c r="CD25" s="410">
        <f t="shared" si="7"/>
        <v>3003.3333333333335</v>
      </c>
      <c r="CE25" s="410">
        <f t="shared" si="7"/>
        <v>3003.3333333333335</v>
      </c>
      <c r="CF25" s="410">
        <f t="shared" si="7"/>
        <v>3003.3333333333335</v>
      </c>
      <c r="CG25" s="410">
        <f t="shared" si="7"/>
        <v>3003.3333333333335</v>
      </c>
      <c r="CH25" s="410">
        <f t="shared" si="7"/>
        <v>3003.3333333333335</v>
      </c>
      <c r="CI25" s="410">
        <f t="shared" si="7"/>
        <v>3003.3333333333335</v>
      </c>
      <c r="CJ25" s="410">
        <f t="shared" si="7"/>
        <v>3003.3333333333335</v>
      </c>
      <c r="CK25" s="410">
        <f t="shared" si="7"/>
        <v>3003.3333333333335</v>
      </c>
      <c r="CL25" s="410">
        <f t="shared" si="7"/>
        <v>3003.3333333333335</v>
      </c>
      <c r="CM25" s="410">
        <f t="shared" si="1"/>
        <v>3003.3333333333371</v>
      </c>
      <c r="CN25" s="58"/>
      <c r="CO25" s="58"/>
      <c r="CP25" s="58"/>
      <c r="CQ25" s="58"/>
      <c r="CR25" s="58"/>
      <c r="CS25" s="58"/>
      <c r="CT25" s="58"/>
      <c r="CU25" s="58"/>
      <c r="CV25" s="58"/>
      <c r="CW25" s="58"/>
      <c r="CX25" s="58"/>
      <c r="CY25" s="58"/>
      <c r="CZ25" s="58"/>
      <c r="DA25" s="58"/>
      <c r="DB25" s="58"/>
      <c r="DC25" s="58"/>
      <c r="DD25" s="58"/>
      <c r="DE25" s="58"/>
      <c r="DF25" s="58"/>
      <c r="DG25" s="58"/>
      <c r="DH25" s="58"/>
      <c r="DI25" s="58"/>
      <c r="DJ25" s="58"/>
      <c r="DK25" s="58"/>
      <c r="DL25" s="58"/>
      <c r="DM25" s="58"/>
      <c r="DN25" s="58"/>
      <c r="DO25" s="58"/>
      <c r="DP25" s="58"/>
      <c r="DQ25" s="58"/>
      <c r="DR25" s="58"/>
      <c r="DS25" s="58"/>
      <c r="DT25" s="58"/>
      <c r="DU25" s="58"/>
      <c r="DV25" s="58"/>
      <c r="DW25" s="58"/>
      <c r="DX25" s="58"/>
      <c r="DY25" s="58"/>
      <c r="DZ25" s="58"/>
      <c r="EA25" s="58"/>
      <c r="EB25" s="58"/>
      <c r="EC25" s="58"/>
      <c r="ED25" s="58"/>
      <c r="EE25" s="58"/>
      <c r="EF25" s="58"/>
      <c r="EG25" s="58"/>
      <c r="EH25" s="58"/>
      <c r="EI25" s="58"/>
      <c r="EJ25" s="58"/>
      <c r="EK25" s="58"/>
      <c r="EL25" s="58"/>
      <c r="EM25" s="58"/>
      <c r="EN25" s="58"/>
      <c r="EO25" s="58"/>
      <c r="EP25" s="58"/>
      <c r="EQ25" s="58"/>
      <c r="ER25" s="58"/>
      <c r="ES25" s="58"/>
      <c r="ET25" s="58"/>
      <c r="EU25" s="58"/>
      <c r="EV25" s="58"/>
      <c r="EW25" s="58"/>
      <c r="EX25" s="58"/>
      <c r="EY25" s="58"/>
      <c r="EZ25" s="58"/>
      <c r="FA25" s="58"/>
      <c r="FB25" s="58"/>
      <c r="FC25" s="58"/>
      <c r="FD25" s="58"/>
      <c r="FE25" s="58"/>
      <c r="FF25" s="58"/>
      <c r="FG25" s="58"/>
      <c r="FH25" s="58"/>
      <c r="FI25" s="58"/>
      <c r="FJ25" s="58"/>
      <c r="FK25" s="58"/>
      <c r="FL25" s="58"/>
      <c r="FM25" s="58"/>
      <c r="FN25" s="58"/>
      <c r="FO25" s="58"/>
      <c r="FP25" s="58"/>
      <c r="FQ25" s="58"/>
      <c r="FR25" s="58"/>
      <c r="FS25" s="58"/>
      <c r="FT25" s="58"/>
      <c r="FU25" s="58"/>
      <c r="FV25" s="58"/>
    </row>
    <row r="26" spans="1:178">
      <c r="A26" s="1058"/>
      <c r="B26" s="2" t="s">
        <v>312</v>
      </c>
      <c r="C26" s="362" t="s">
        <v>313</v>
      </c>
      <c r="D26" s="362">
        <v>0.18049999999999999</v>
      </c>
      <c r="E26" s="58"/>
      <c r="F26" s="382" t="s">
        <v>173</v>
      </c>
      <c r="G26" s="410">
        <f>$D$26*G15</f>
        <v>16109.625</v>
      </c>
      <c r="H26" s="410">
        <f t="shared" ref="H26:BS26" si="8">$D$26*H15</f>
        <v>16109.625</v>
      </c>
      <c r="I26" s="410">
        <f t="shared" si="8"/>
        <v>16109.625</v>
      </c>
      <c r="J26" s="410">
        <f t="shared" si="8"/>
        <v>16109.625</v>
      </c>
      <c r="K26" s="410">
        <f t="shared" si="8"/>
        <v>16109.625</v>
      </c>
      <c r="L26" s="410">
        <f t="shared" si="8"/>
        <v>16109.625</v>
      </c>
      <c r="M26" s="410">
        <f t="shared" si="8"/>
        <v>16109.625</v>
      </c>
      <c r="N26" s="410">
        <f t="shared" si="8"/>
        <v>16109.625</v>
      </c>
      <c r="O26" s="410">
        <f t="shared" si="8"/>
        <v>16109.625</v>
      </c>
      <c r="P26" s="410">
        <f t="shared" si="8"/>
        <v>16109.625</v>
      </c>
      <c r="Q26" s="410">
        <f t="shared" si="8"/>
        <v>16109.625</v>
      </c>
      <c r="R26" s="410">
        <f t="shared" si="8"/>
        <v>16109.625</v>
      </c>
      <c r="S26" s="410">
        <f t="shared" si="8"/>
        <v>16109.625</v>
      </c>
      <c r="T26" s="410">
        <f t="shared" si="8"/>
        <v>16109.625</v>
      </c>
      <c r="U26" s="410">
        <f t="shared" si="8"/>
        <v>16109.625</v>
      </c>
      <c r="V26" s="410">
        <f t="shared" si="8"/>
        <v>16109.625</v>
      </c>
      <c r="W26" s="410">
        <f t="shared" si="8"/>
        <v>16109.625</v>
      </c>
      <c r="X26" s="410">
        <f t="shared" si="8"/>
        <v>16109.625</v>
      </c>
      <c r="Y26" s="410">
        <f t="shared" si="8"/>
        <v>16109.625</v>
      </c>
      <c r="Z26" s="410">
        <f t="shared" si="8"/>
        <v>16109.625</v>
      </c>
      <c r="AA26" s="410">
        <f t="shared" si="8"/>
        <v>16109.625</v>
      </c>
      <c r="AB26" s="410">
        <f t="shared" si="8"/>
        <v>16109.625</v>
      </c>
      <c r="AC26" s="410">
        <f t="shared" si="8"/>
        <v>16109.625</v>
      </c>
      <c r="AD26" s="410">
        <f t="shared" si="8"/>
        <v>16109.625</v>
      </c>
      <c r="AE26" s="410">
        <f t="shared" si="8"/>
        <v>16109.625</v>
      </c>
      <c r="AF26" s="410">
        <f t="shared" si="8"/>
        <v>16109.625</v>
      </c>
      <c r="AG26" s="410">
        <f t="shared" si="8"/>
        <v>16109.625</v>
      </c>
      <c r="AH26" s="410">
        <f t="shared" si="8"/>
        <v>16109.625</v>
      </c>
      <c r="AI26" s="410">
        <f t="shared" si="8"/>
        <v>16109.625</v>
      </c>
      <c r="AJ26" s="410">
        <f t="shared" si="8"/>
        <v>16109.625</v>
      </c>
      <c r="AK26" s="410">
        <f t="shared" si="8"/>
        <v>16109.625</v>
      </c>
      <c r="AL26" s="410">
        <f t="shared" si="8"/>
        <v>16109.625</v>
      </c>
      <c r="AM26" s="410">
        <f t="shared" si="8"/>
        <v>16109.625</v>
      </c>
      <c r="AN26" s="410">
        <f t="shared" si="8"/>
        <v>16109.625</v>
      </c>
      <c r="AO26" s="410">
        <f t="shared" si="8"/>
        <v>16109.625</v>
      </c>
      <c r="AP26" s="410">
        <f t="shared" si="8"/>
        <v>16109.625</v>
      </c>
      <c r="AQ26" s="410">
        <f t="shared" si="8"/>
        <v>16109.625</v>
      </c>
      <c r="AR26" s="410">
        <f t="shared" si="8"/>
        <v>16109.625</v>
      </c>
      <c r="AS26" s="410">
        <f t="shared" si="8"/>
        <v>16109.625</v>
      </c>
      <c r="AT26" s="410">
        <f t="shared" si="8"/>
        <v>16109.625</v>
      </c>
      <c r="AU26" s="410">
        <f t="shared" si="8"/>
        <v>16109.625</v>
      </c>
      <c r="AV26" s="410">
        <f t="shared" si="8"/>
        <v>16109.625</v>
      </c>
      <c r="AW26" s="410">
        <f t="shared" si="8"/>
        <v>16109.625</v>
      </c>
      <c r="AX26" s="410">
        <f t="shared" si="8"/>
        <v>16109.625</v>
      </c>
      <c r="AY26" s="410">
        <f t="shared" si="8"/>
        <v>16109.625</v>
      </c>
      <c r="AZ26" s="410">
        <f t="shared" si="8"/>
        <v>16109.625</v>
      </c>
      <c r="BA26" s="410">
        <f t="shared" si="8"/>
        <v>16109.625</v>
      </c>
      <c r="BB26" s="410">
        <f t="shared" si="8"/>
        <v>16109.625</v>
      </c>
      <c r="BC26" s="410">
        <f t="shared" si="8"/>
        <v>16109.625</v>
      </c>
      <c r="BD26" s="410">
        <f t="shared" si="8"/>
        <v>16109.625</v>
      </c>
      <c r="BE26" s="410">
        <f t="shared" si="8"/>
        <v>16109.625</v>
      </c>
      <c r="BF26" s="410">
        <f t="shared" si="8"/>
        <v>16109.625</v>
      </c>
      <c r="BG26" s="410">
        <f t="shared" si="8"/>
        <v>16109.625</v>
      </c>
      <c r="BH26" s="410">
        <f t="shared" si="8"/>
        <v>16109.625</v>
      </c>
      <c r="BI26" s="410">
        <f t="shared" si="8"/>
        <v>16109.625</v>
      </c>
      <c r="BJ26" s="410">
        <f t="shared" si="8"/>
        <v>16109.625</v>
      </c>
      <c r="BK26" s="410">
        <f t="shared" si="8"/>
        <v>16109.625</v>
      </c>
      <c r="BL26" s="410">
        <f t="shared" si="8"/>
        <v>16109.625</v>
      </c>
      <c r="BM26" s="410">
        <f t="shared" si="8"/>
        <v>16109.625</v>
      </c>
      <c r="BN26" s="410">
        <f t="shared" si="8"/>
        <v>16109.625</v>
      </c>
      <c r="BO26" s="410">
        <f t="shared" si="8"/>
        <v>16109.625</v>
      </c>
      <c r="BP26" s="410">
        <f t="shared" si="8"/>
        <v>16109.625</v>
      </c>
      <c r="BQ26" s="410">
        <f t="shared" si="8"/>
        <v>16109.625</v>
      </c>
      <c r="BR26" s="410">
        <f t="shared" si="8"/>
        <v>16109.625</v>
      </c>
      <c r="BS26" s="410">
        <f t="shared" si="8"/>
        <v>16109.625</v>
      </c>
      <c r="BT26" s="410">
        <f t="shared" ref="BT26:CL26" si="9">$D$26*BT15</f>
        <v>16109.625</v>
      </c>
      <c r="BU26" s="410">
        <f t="shared" si="9"/>
        <v>16109.625</v>
      </c>
      <c r="BV26" s="410">
        <f t="shared" si="9"/>
        <v>16109.625</v>
      </c>
      <c r="BW26" s="410">
        <f t="shared" si="9"/>
        <v>16109.625</v>
      </c>
      <c r="BX26" s="410">
        <f t="shared" si="9"/>
        <v>16109.625</v>
      </c>
      <c r="BY26" s="410">
        <f t="shared" si="9"/>
        <v>16109.625</v>
      </c>
      <c r="BZ26" s="410">
        <f t="shared" si="9"/>
        <v>16109.625</v>
      </c>
      <c r="CA26" s="410">
        <f t="shared" si="9"/>
        <v>16109.625</v>
      </c>
      <c r="CB26" s="410">
        <f t="shared" si="9"/>
        <v>16109.625</v>
      </c>
      <c r="CC26" s="410">
        <f t="shared" si="9"/>
        <v>16109.625</v>
      </c>
      <c r="CD26" s="410">
        <f t="shared" si="9"/>
        <v>16109.625</v>
      </c>
      <c r="CE26" s="410">
        <f t="shared" si="9"/>
        <v>16109.625</v>
      </c>
      <c r="CF26" s="410">
        <f t="shared" si="9"/>
        <v>16109.625</v>
      </c>
      <c r="CG26" s="410">
        <f t="shared" si="9"/>
        <v>16109.625</v>
      </c>
      <c r="CH26" s="410">
        <f t="shared" si="9"/>
        <v>16109.625</v>
      </c>
      <c r="CI26" s="410">
        <f t="shared" si="9"/>
        <v>16109.625</v>
      </c>
      <c r="CJ26" s="410">
        <f t="shared" si="9"/>
        <v>16109.625</v>
      </c>
      <c r="CK26" s="410">
        <f t="shared" si="9"/>
        <v>16109.625</v>
      </c>
      <c r="CL26" s="410">
        <f t="shared" si="9"/>
        <v>16109.625</v>
      </c>
      <c r="CM26" s="410">
        <f t="shared" si="1"/>
        <v>16109.625</v>
      </c>
      <c r="CN26" s="58"/>
      <c r="CO26" s="58"/>
      <c r="CP26" s="58"/>
      <c r="CQ26" s="58"/>
      <c r="CR26" s="58"/>
      <c r="CS26" s="58"/>
      <c r="CT26" s="58"/>
      <c r="CU26" s="58"/>
      <c r="CV26" s="58"/>
      <c r="CW26" s="58"/>
      <c r="CX26" s="58"/>
      <c r="CY26" s="58"/>
      <c r="CZ26" s="58"/>
      <c r="DA26" s="58"/>
      <c r="DB26" s="58"/>
      <c r="DC26" s="58"/>
      <c r="DD26" s="58"/>
      <c r="DE26" s="58"/>
      <c r="DF26" s="58"/>
      <c r="DG26" s="58"/>
      <c r="DH26" s="58"/>
      <c r="DI26" s="58"/>
      <c r="DJ26" s="58"/>
      <c r="DK26" s="58"/>
      <c r="DL26" s="58"/>
      <c r="DM26" s="58"/>
      <c r="DN26" s="58"/>
      <c r="DO26" s="58"/>
      <c r="DP26" s="58"/>
      <c r="DQ26" s="58"/>
      <c r="DR26" s="58"/>
      <c r="DS26" s="58"/>
      <c r="DT26" s="58"/>
      <c r="DU26" s="58"/>
      <c r="DV26" s="58"/>
      <c r="DW26" s="58"/>
      <c r="DX26" s="58"/>
      <c r="DY26" s="58"/>
      <c r="DZ26" s="58"/>
      <c r="EA26" s="58"/>
      <c r="EB26" s="58"/>
      <c r="EC26" s="58"/>
      <c r="ED26" s="58"/>
      <c r="EE26" s="58"/>
      <c r="EF26" s="58"/>
      <c r="EG26" s="58"/>
      <c r="EH26" s="58"/>
      <c r="EI26" s="58"/>
      <c r="EJ26" s="58"/>
      <c r="EK26" s="58"/>
      <c r="EL26" s="58"/>
      <c r="EM26" s="58"/>
      <c r="EN26" s="58"/>
      <c r="EO26" s="58"/>
      <c r="EP26" s="58"/>
      <c r="EQ26" s="58"/>
      <c r="ER26" s="58"/>
      <c r="ES26" s="58"/>
      <c r="ET26" s="58"/>
      <c r="EU26" s="58"/>
      <c r="EV26" s="58"/>
      <c r="EW26" s="58"/>
      <c r="EX26" s="58"/>
      <c r="EY26" s="58"/>
      <c r="EZ26" s="58"/>
      <c r="FA26" s="58"/>
      <c r="FB26" s="58"/>
      <c r="FC26" s="58"/>
      <c r="FD26" s="58"/>
      <c r="FE26" s="58"/>
      <c r="FF26" s="58"/>
      <c r="FG26" s="58"/>
      <c r="FH26" s="58"/>
      <c r="FI26" s="58"/>
      <c r="FJ26" s="58"/>
      <c r="FK26" s="58"/>
      <c r="FL26" s="58"/>
      <c r="FM26" s="58"/>
      <c r="FN26" s="58"/>
      <c r="FO26" s="58"/>
      <c r="FP26" s="58"/>
      <c r="FQ26" s="58"/>
      <c r="FR26" s="58"/>
      <c r="FS26" s="58"/>
      <c r="FT26" s="58"/>
      <c r="FU26" s="58"/>
      <c r="FV26" s="58"/>
    </row>
    <row r="27" spans="1:178">
      <c r="A27" s="1058"/>
      <c r="B27" s="2" t="s">
        <v>312</v>
      </c>
      <c r="C27" s="362" t="s">
        <v>313</v>
      </c>
      <c r="D27" s="362">
        <v>1.8104</v>
      </c>
      <c r="E27" s="58"/>
      <c r="F27" s="382" t="s">
        <v>174</v>
      </c>
      <c r="G27" s="410">
        <f>$D$27*G16</f>
        <v>207147.17493333333</v>
      </c>
      <c r="H27" s="410">
        <f t="shared" ref="H27:BS27" si="10">$D$27*H16</f>
        <v>207147.17493333333</v>
      </c>
      <c r="I27" s="410">
        <f t="shared" si="10"/>
        <v>207147.17493333333</v>
      </c>
      <c r="J27" s="410">
        <f t="shared" si="10"/>
        <v>207147.17493333333</v>
      </c>
      <c r="K27" s="410">
        <f t="shared" si="10"/>
        <v>207147.17493333333</v>
      </c>
      <c r="L27" s="410">
        <f t="shared" si="10"/>
        <v>207147.17493333333</v>
      </c>
      <c r="M27" s="410">
        <f t="shared" si="10"/>
        <v>207147.17493333333</v>
      </c>
      <c r="N27" s="410">
        <f t="shared" si="10"/>
        <v>207147.17493333333</v>
      </c>
      <c r="O27" s="410">
        <f t="shared" si="10"/>
        <v>207147.17493333333</v>
      </c>
      <c r="P27" s="410">
        <f t="shared" si="10"/>
        <v>207147.17493333333</v>
      </c>
      <c r="Q27" s="410">
        <f t="shared" si="10"/>
        <v>207147.17493333333</v>
      </c>
      <c r="R27" s="410">
        <f t="shared" si="10"/>
        <v>207147.17493333333</v>
      </c>
      <c r="S27" s="410">
        <f t="shared" si="10"/>
        <v>207147.17493333333</v>
      </c>
      <c r="T27" s="410">
        <f t="shared" si="10"/>
        <v>207147.17493333333</v>
      </c>
      <c r="U27" s="410">
        <f t="shared" si="10"/>
        <v>207147.17493333333</v>
      </c>
      <c r="V27" s="410">
        <f t="shared" si="10"/>
        <v>207147.17493333333</v>
      </c>
      <c r="W27" s="410">
        <f t="shared" si="10"/>
        <v>207147.17493333333</v>
      </c>
      <c r="X27" s="410">
        <f t="shared" si="10"/>
        <v>207147.17493333333</v>
      </c>
      <c r="Y27" s="410">
        <f t="shared" si="10"/>
        <v>207147.17493333333</v>
      </c>
      <c r="Z27" s="410">
        <f t="shared" si="10"/>
        <v>207147.17493333333</v>
      </c>
      <c r="AA27" s="410">
        <f t="shared" si="10"/>
        <v>207147.17493333333</v>
      </c>
      <c r="AB27" s="410">
        <f t="shared" si="10"/>
        <v>207147.17493333333</v>
      </c>
      <c r="AC27" s="410">
        <f t="shared" si="10"/>
        <v>207147.17493333333</v>
      </c>
      <c r="AD27" s="410">
        <f t="shared" si="10"/>
        <v>207147.17493333333</v>
      </c>
      <c r="AE27" s="410">
        <f t="shared" si="10"/>
        <v>207147.17493333333</v>
      </c>
      <c r="AF27" s="410">
        <f t="shared" si="10"/>
        <v>207147.17493333333</v>
      </c>
      <c r="AG27" s="410">
        <f t="shared" si="10"/>
        <v>207147.17493333333</v>
      </c>
      <c r="AH27" s="410">
        <f t="shared" si="10"/>
        <v>207147.17493333333</v>
      </c>
      <c r="AI27" s="410">
        <f t="shared" si="10"/>
        <v>207147.17493333333</v>
      </c>
      <c r="AJ27" s="410">
        <f t="shared" si="10"/>
        <v>207147.17493333333</v>
      </c>
      <c r="AK27" s="410">
        <f t="shared" si="10"/>
        <v>207147.17493333333</v>
      </c>
      <c r="AL27" s="410">
        <f t="shared" si="10"/>
        <v>207147.17493333333</v>
      </c>
      <c r="AM27" s="410">
        <f t="shared" si="10"/>
        <v>207147.17493333333</v>
      </c>
      <c r="AN27" s="410">
        <f t="shared" si="10"/>
        <v>207147.17493333333</v>
      </c>
      <c r="AO27" s="410">
        <f t="shared" si="10"/>
        <v>207147.17493333333</v>
      </c>
      <c r="AP27" s="410">
        <f t="shared" si="10"/>
        <v>207147.17493333333</v>
      </c>
      <c r="AQ27" s="410">
        <f t="shared" si="10"/>
        <v>207147.17493333333</v>
      </c>
      <c r="AR27" s="410">
        <f t="shared" si="10"/>
        <v>207147.17493333333</v>
      </c>
      <c r="AS27" s="410">
        <f t="shared" si="10"/>
        <v>207147.17493333333</v>
      </c>
      <c r="AT27" s="410">
        <f t="shared" si="10"/>
        <v>207147.17493333333</v>
      </c>
      <c r="AU27" s="410">
        <f t="shared" si="10"/>
        <v>207147.17493333333</v>
      </c>
      <c r="AV27" s="410">
        <f t="shared" si="10"/>
        <v>207147.17493333333</v>
      </c>
      <c r="AW27" s="410">
        <f t="shared" si="10"/>
        <v>207147.17493333333</v>
      </c>
      <c r="AX27" s="410">
        <f t="shared" si="10"/>
        <v>207147.17493333333</v>
      </c>
      <c r="AY27" s="410">
        <f t="shared" si="10"/>
        <v>207147.17493333333</v>
      </c>
      <c r="AZ27" s="410">
        <f t="shared" si="10"/>
        <v>207147.17493333333</v>
      </c>
      <c r="BA27" s="410">
        <f t="shared" si="10"/>
        <v>207147.17493333333</v>
      </c>
      <c r="BB27" s="410">
        <f t="shared" si="10"/>
        <v>207147.17493333333</v>
      </c>
      <c r="BC27" s="410">
        <f t="shared" si="10"/>
        <v>207147.17493333333</v>
      </c>
      <c r="BD27" s="410">
        <f t="shared" si="10"/>
        <v>207147.17493333333</v>
      </c>
      <c r="BE27" s="410">
        <f t="shared" si="10"/>
        <v>207147.17493333333</v>
      </c>
      <c r="BF27" s="410">
        <f t="shared" si="10"/>
        <v>207147.17493333333</v>
      </c>
      <c r="BG27" s="410">
        <f t="shared" si="10"/>
        <v>207147.17493333333</v>
      </c>
      <c r="BH27" s="410">
        <f t="shared" si="10"/>
        <v>207147.17493333333</v>
      </c>
      <c r="BI27" s="410">
        <f t="shared" si="10"/>
        <v>207147.17493333333</v>
      </c>
      <c r="BJ27" s="410">
        <f t="shared" si="10"/>
        <v>207147.17493333333</v>
      </c>
      <c r="BK27" s="410">
        <f t="shared" si="10"/>
        <v>207147.17493333333</v>
      </c>
      <c r="BL27" s="410">
        <f t="shared" si="10"/>
        <v>207147.17493333333</v>
      </c>
      <c r="BM27" s="410">
        <f t="shared" si="10"/>
        <v>207147.17493333333</v>
      </c>
      <c r="BN27" s="410">
        <f t="shared" si="10"/>
        <v>207147.17493333333</v>
      </c>
      <c r="BO27" s="410">
        <f t="shared" si="10"/>
        <v>207147.17493333333</v>
      </c>
      <c r="BP27" s="410">
        <f t="shared" si="10"/>
        <v>207147.17493333333</v>
      </c>
      <c r="BQ27" s="410">
        <f t="shared" si="10"/>
        <v>207147.17493333333</v>
      </c>
      <c r="BR27" s="410">
        <f t="shared" si="10"/>
        <v>207147.17493333333</v>
      </c>
      <c r="BS27" s="410">
        <f t="shared" si="10"/>
        <v>207147.17493333333</v>
      </c>
      <c r="BT27" s="410">
        <f t="shared" ref="BT27:CL27" si="11">$D$27*BT16</f>
        <v>207147.17493333333</v>
      </c>
      <c r="BU27" s="410">
        <f t="shared" si="11"/>
        <v>207147.17493333333</v>
      </c>
      <c r="BV27" s="410">
        <f t="shared" si="11"/>
        <v>207147.17493333333</v>
      </c>
      <c r="BW27" s="410">
        <f t="shared" si="11"/>
        <v>207147.17493333333</v>
      </c>
      <c r="BX27" s="410">
        <f t="shared" si="11"/>
        <v>207147.17493333333</v>
      </c>
      <c r="BY27" s="410">
        <f t="shared" si="11"/>
        <v>207147.17493333333</v>
      </c>
      <c r="BZ27" s="410">
        <f t="shared" si="11"/>
        <v>207147.17493333333</v>
      </c>
      <c r="CA27" s="410">
        <f t="shared" si="11"/>
        <v>207147.17493333333</v>
      </c>
      <c r="CB27" s="410">
        <f t="shared" si="11"/>
        <v>207147.17493333333</v>
      </c>
      <c r="CC27" s="410">
        <f t="shared" si="11"/>
        <v>207147.17493333333</v>
      </c>
      <c r="CD27" s="410">
        <f t="shared" si="11"/>
        <v>207147.17493333333</v>
      </c>
      <c r="CE27" s="410">
        <f t="shared" si="11"/>
        <v>207147.17493333333</v>
      </c>
      <c r="CF27" s="410">
        <f t="shared" si="11"/>
        <v>207147.17493333333</v>
      </c>
      <c r="CG27" s="410">
        <f t="shared" si="11"/>
        <v>207147.17493333333</v>
      </c>
      <c r="CH27" s="410">
        <f t="shared" si="11"/>
        <v>207147.17493333333</v>
      </c>
      <c r="CI27" s="410">
        <f t="shared" si="11"/>
        <v>207147.17493333333</v>
      </c>
      <c r="CJ27" s="410">
        <f t="shared" si="11"/>
        <v>207147.17493333333</v>
      </c>
      <c r="CK27" s="410">
        <f t="shared" si="11"/>
        <v>207147.17493333333</v>
      </c>
      <c r="CL27" s="410">
        <f t="shared" si="11"/>
        <v>207147.17493333333</v>
      </c>
      <c r="CM27" s="410">
        <f t="shared" si="1"/>
        <v>207147.1749333331</v>
      </c>
      <c r="CN27" s="58"/>
      <c r="CO27" s="58"/>
      <c r="CP27" s="58"/>
      <c r="CQ27" s="58"/>
      <c r="CR27" s="58"/>
      <c r="CS27" s="58"/>
      <c r="CT27" s="58"/>
      <c r="CU27" s="58"/>
      <c r="CV27" s="58"/>
      <c r="CW27" s="58"/>
      <c r="CX27" s="58"/>
      <c r="CY27" s="58"/>
      <c r="CZ27" s="58"/>
      <c r="DA27" s="58"/>
      <c r="DB27" s="58"/>
      <c r="DC27" s="58"/>
      <c r="DD27" s="58"/>
      <c r="DE27" s="58"/>
      <c r="DF27" s="58"/>
      <c r="DG27" s="58"/>
      <c r="DH27" s="58"/>
      <c r="DI27" s="58"/>
      <c r="DJ27" s="58"/>
      <c r="DK27" s="58"/>
      <c r="DL27" s="58"/>
      <c r="DM27" s="58"/>
      <c r="DN27" s="58"/>
      <c r="DO27" s="58"/>
      <c r="DP27" s="58"/>
      <c r="DQ27" s="58"/>
      <c r="DR27" s="58"/>
      <c r="DS27" s="58"/>
      <c r="DT27" s="58"/>
      <c r="DU27" s="58"/>
      <c r="DV27" s="58"/>
      <c r="DW27" s="58"/>
      <c r="DX27" s="58"/>
      <c r="DY27" s="58"/>
      <c r="DZ27" s="58"/>
      <c r="EA27" s="58"/>
      <c r="EB27" s="58"/>
      <c r="EC27" s="58"/>
      <c r="ED27" s="58"/>
      <c r="EE27" s="58"/>
      <c r="EF27" s="58"/>
      <c r="EG27" s="58"/>
      <c r="EH27" s="58"/>
      <c r="EI27" s="58"/>
      <c r="EJ27" s="58"/>
      <c r="EK27" s="58"/>
      <c r="EL27" s="58"/>
      <c r="EM27" s="58"/>
      <c r="EN27" s="58"/>
      <c r="EO27" s="58"/>
      <c r="EP27" s="58"/>
      <c r="EQ27" s="58"/>
      <c r="ER27" s="58"/>
      <c r="ES27" s="58"/>
      <c r="ET27" s="58"/>
      <c r="EU27" s="58"/>
      <c r="EV27" s="58"/>
      <c r="EW27" s="58"/>
      <c r="EX27" s="58"/>
      <c r="EY27" s="58"/>
      <c r="EZ27" s="58"/>
      <c r="FA27" s="58"/>
      <c r="FB27" s="58"/>
      <c r="FC27" s="58"/>
      <c r="FD27" s="58"/>
      <c r="FE27" s="58"/>
      <c r="FF27" s="58"/>
      <c r="FG27" s="58"/>
      <c r="FH27" s="58"/>
      <c r="FI27" s="58"/>
      <c r="FJ27" s="58"/>
      <c r="FK27" s="58"/>
      <c r="FL27" s="58"/>
      <c r="FM27" s="58"/>
      <c r="FN27" s="58"/>
      <c r="FO27" s="58"/>
      <c r="FP27" s="58"/>
      <c r="FQ27" s="58"/>
      <c r="FR27" s="58"/>
      <c r="FS27" s="58"/>
      <c r="FT27" s="58"/>
      <c r="FU27" s="58"/>
      <c r="FV27" s="58"/>
    </row>
    <row r="28" spans="1:178">
      <c r="A28" s="1058"/>
      <c r="B28" s="2" t="s">
        <v>312</v>
      </c>
      <c r="C28" s="362" t="s">
        <v>143</v>
      </c>
      <c r="D28" s="362"/>
      <c r="E28" s="58"/>
      <c r="F28" s="413" t="s">
        <v>318</v>
      </c>
      <c r="G28" s="414">
        <f>(G29*G2+G30*G3+G31*G4+G32*G5)/SUM(G29:G32)</f>
        <v>27470.462657356587</v>
      </c>
      <c r="H28" s="414">
        <f t="shared" ref="H28:BS28" si="12">(H29*H2+H30*H3+H31*H4+H32*H5)/SUM(H29:H32)</f>
        <v>26786.219329064534</v>
      </c>
      <c r="I28" s="414">
        <f t="shared" si="12"/>
        <v>22422.539148325501</v>
      </c>
      <c r="J28" s="414">
        <f t="shared" si="12"/>
        <v>21135.667266340934</v>
      </c>
      <c r="K28" s="414">
        <f t="shared" si="12"/>
        <v>21418.149573247822</v>
      </c>
      <c r="L28" s="414">
        <f t="shared" si="12"/>
        <v>22074.120730686707</v>
      </c>
      <c r="M28" s="414">
        <f t="shared" si="12"/>
        <v>21623.718768453302</v>
      </c>
      <c r="N28" s="414">
        <f t="shared" si="12"/>
        <v>21312.431272103247</v>
      </c>
      <c r="O28" s="414">
        <f t="shared" si="12"/>
        <v>20961.76788480116</v>
      </c>
      <c r="P28" s="414">
        <f t="shared" si="12"/>
        <v>20638.86058608448</v>
      </c>
      <c r="Q28" s="414">
        <f t="shared" si="12"/>
        <v>20409.228724894281</v>
      </c>
      <c r="R28" s="414">
        <f t="shared" si="12"/>
        <v>19745.115762418969</v>
      </c>
      <c r="S28" s="414">
        <f t="shared" si="12"/>
        <v>20646.337602471696</v>
      </c>
      <c r="T28" s="414">
        <f t="shared" si="12"/>
        <v>20153.632713000781</v>
      </c>
      <c r="U28" s="414">
        <f t="shared" si="12"/>
        <v>19275.975643776404</v>
      </c>
      <c r="V28" s="414">
        <f t="shared" si="12"/>
        <v>22267.988856974142</v>
      </c>
      <c r="W28" s="414">
        <f t="shared" si="12"/>
        <v>21230.047537226539</v>
      </c>
      <c r="X28" s="414">
        <f t="shared" si="12"/>
        <v>19033.656173983618</v>
      </c>
      <c r="Y28" s="414">
        <f t="shared" si="12"/>
        <v>12475.871472148445</v>
      </c>
      <c r="Z28" s="414">
        <f t="shared" si="12"/>
        <v>14299.093552804366</v>
      </c>
      <c r="AA28" s="414">
        <f t="shared" si="12"/>
        <v>13615.722793272782</v>
      </c>
      <c r="AB28" s="414">
        <f t="shared" si="12"/>
        <v>13681.505394245414</v>
      </c>
      <c r="AC28" s="414">
        <f t="shared" si="12"/>
        <v>15206.555493128695</v>
      </c>
      <c r="AD28" s="414">
        <f t="shared" si="12"/>
        <v>14429.699371956178</v>
      </c>
      <c r="AE28" s="414">
        <f t="shared" si="12"/>
        <v>11366.923899757934</v>
      </c>
      <c r="AF28" s="414">
        <f t="shared" si="12"/>
        <v>15596.632950853396</v>
      </c>
      <c r="AG28" s="414">
        <f t="shared" si="12"/>
        <v>15574.882410618156</v>
      </c>
      <c r="AH28" s="414">
        <f t="shared" si="12"/>
        <v>18458.59577056647</v>
      </c>
      <c r="AI28" s="414">
        <f t="shared" si="12"/>
        <v>19790.93365765061</v>
      </c>
      <c r="AJ28" s="414">
        <f t="shared" si="12"/>
        <v>23825.020548989316</v>
      </c>
      <c r="AK28" s="414">
        <f t="shared" si="12"/>
        <v>24364.270490973831</v>
      </c>
      <c r="AL28" s="414">
        <f t="shared" si="12"/>
        <v>20677.296980922136</v>
      </c>
      <c r="AM28" s="414">
        <f t="shared" si="12"/>
        <v>19744.985512416035</v>
      </c>
      <c r="AN28" s="414">
        <f t="shared" si="12"/>
        <v>20672.164179396172</v>
      </c>
      <c r="AO28" s="414">
        <f t="shared" si="12"/>
        <v>15631.31922643902</v>
      </c>
      <c r="AP28" s="414">
        <f t="shared" si="12"/>
        <v>17159.333921474474</v>
      </c>
      <c r="AQ28" s="414">
        <f t="shared" si="12"/>
        <v>29125.870131603577</v>
      </c>
      <c r="AR28" s="414">
        <f t="shared" si="12"/>
        <v>29307.147854715626</v>
      </c>
      <c r="AS28" s="414">
        <f t="shared" si="12"/>
        <v>30118.884151299742</v>
      </c>
      <c r="AT28" s="414">
        <f t="shared" si="12"/>
        <v>29239.36950993057</v>
      </c>
      <c r="AU28" s="414">
        <f t="shared" si="12"/>
        <v>29243.818797125863</v>
      </c>
      <c r="AV28" s="414">
        <f t="shared" si="12"/>
        <v>34395.567728777613</v>
      </c>
      <c r="AW28" s="414">
        <f t="shared" si="12"/>
        <v>33640.260464012536</v>
      </c>
      <c r="AX28" s="414">
        <f t="shared" si="12"/>
        <v>26613.794031568199</v>
      </c>
      <c r="AY28" s="414">
        <f t="shared" si="12"/>
        <v>36146.120228513537</v>
      </c>
      <c r="AZ28" s="414">
        <f t="shared" si="12"/>
        <v>40495.367534435041</v>
      </c>
      <c r="BA28" s="414">
        <f t="shared" si="12"/>
        <v>41877.28317457332</v>
      </c>
      <c r="BB28" s="414">
        <f t="shared" si="12"/>
        <v>42268.349932669262</v>
      </c>
      <c r="BC28" s="414">
        <f t="shared" si="12"/>
        <v>26655.612021902289</v>
      </c>
      <c r="BD28" s="414">
        <f t="shared" si="12"/>
        <v>23632.294339329219</v>
      </c>
      <c r="BE28" s="414">
        <f t="shared" si="12"/>
        <v>23491.92136972825</v>
      </c>
      <c r="BF28" s="414">
        <f t="shared" si="12"/>
        <v>24125.32052752265</v>
      </c>
      <c r="BG28" s="414">
        <f t="shared" si="12"/>
        <v>23636.570631648236</v>
      </c>
      <c r="BH28" s="414">
        <f t="shared" si="12"/>
        <v>23756.053609381182</v>
      </c>
      <c r="BI28" s="414">
        <f t="shared" si="12"/>
        <v>25059.654632294612</v>
      </c>
      <c r="BJ28" s="414">
        <f t="shared" si="12"/>
        <v>24964.723885927116</v>
      </c>
      <c r="BK28" s="414">
        <f t="shared" si="12"/>
        <v>25030.565949608779</v>
      </c>
      <c r="BL28" s="414">
        <f t="shared" si="12"/>
        <v>25248.307385681219</v>
      </c>
      <c r="BM28" s="414">
        <f t="shared" si="12"/>
        <v>25929.706191182318</v>
      </c>
      <c r="BN28" s="414">
        <f t="shared" si="12"/>
        <v>24831.036828985718</v>
      </c>
      <c r="BO28" s="414">
        <f t="shared" si="12"/>
        <v>23275.313717151374</v>
      </c>
      <c r="BP28" s="414">
        <f t="shared" si="12"/>
        <v>23279.954700235696</v>
      </c>
      <c r="BQ28" s="414">
        <f t="shared" si="12"/>
        <v>23700.290810159695</v>
      </c>
      <c r="BR28" s="414">
        <f t="shared" si="12"/>
        <v>24323.408339758589</v>
      </c>
      <c r="BS28" s="414">
        <f t="shared" si="12"/>
        <v>24541.936242548174</v>
      </c>
      <c r="BT28" s="414">
        <f t="shared" ref="BT28:CL28" si="13">(BT29*BT2+BT30*BT3+BT31*BT4+BT32*BT5)/SUM(BT29:BT32)</f>
        <v>23614.13651826479</v>
      </c>
      <c r="BU28" s="414">
        <f t="shared" si="13"/>
        <v>21013.533283371446</v>
      </c>
      <c r="BV28" s="414">
        <f t="shared" si="13"/>
        <v>21229.001320802043</v>
      </c>
      <c r="BW28" s="414">
        <f t="shared" si="13"/>
        <v>21774.167137856795</v>
      </c>
      <c r="BX28" s="414">
        <f t="shared" si="13"/>
        <v>21035.71768700848</v>
      </c>
      <c r="BY28" s="414">
        <f t="shared" si="13"/>
        <v>21470.595540410162</v>
      </c>
      <c r="BZ28" s="414">
        <f t="shared" si="13"/>
        <v>22163.267852590383</v>
      </c>
      <c r="CA28" s="414">
        <f t="shared" si="13"/>
        <v>19237.503799346425</v>
      </c>
      <c r="CB28" s="414">
        <f t="shared" si="13"/>
        <v>18726.253279868975</v>
      </c>
      <c r="CC28" s="414">
        <f t="shared" si="13"/>
        <v>19996.576297028449</v>
      </c>
      <c r="CD28" s="414">
        <f t="shared" si="13"/>
        <v>19389.476762277762</v>
      </c>
      <c r="CE28" s="414">
        <f t="shared" si="13"/>
        <v>20035.623133701734</v>
      </c>
      <c r="CF28" s="414">
        <f t="shared" si="13"/>
        <v>20250.039261660208</v>
      </c>
      <c r="CG28" s="414">
        <f t="shared" si="13"/>
        <v>19797.964152563298</v>
      </c>
      <c r="CH28" s="414">
        <f t="shared" si="13"/>
        <v>20040.595262242656</v>
      </c>
      <c r="CI28" s="414">
        <f t="shared" si="13"/>
        <v>20048.528100218795</v>
      </c>
      <c r="CJ28" s="414">
        <f t="shared" si="13"/>
        <v>20404.339554544262</v>
      </c>
      <c r="CK28" s="414">
        <f t="shared" si="13"/>
        <v>19700.094899280593</v>
      </c>
      <c r="CL28" s="414">
        <f t="shared" si="13"/>
        <v>19799.109388082368</v>
      </c>
      <c r="CM28" s="414">
        <f t="shared" si="1"/>
        <v>22653.068521573976</v>
      </c>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58"/>
      <c r="EI28" s="58"/>
      <c r="EJ28" s="58"/>
      <c r="EK28" s="58"/>
      <c r="EL28" s="58"/>
      <c r="EM28" s="58"/>
      <c r="EN28" s="58"/>
      <c r="EO28" s="58"/>
      <c r="EP28" s="58"/>
      <c r="EQ28" s="58"/>
      <c r="ER28" s="58"/>
      <c r="ES28" s="58"/>
      <c r="ET28" s="58"/>
      <c r="EU28" s="58"/>
      <c r="EV28" s="58"/>
      <c r="EW28" s="58"/>
      <c r="EX28" s="58"/>
      <c r="EY28" s="58"/>
      <c r="EZ28" s="58"/>
      <c r="FA28" s="58"/>
      <c r="FB28" s="58"/>
      <c r="FC28" s="58"/>
      <c r="FD28" s="58"/>
      <c r="FE28" s="58"/>
      <c r="FF28" s="58"/>
      <c r="FG28" s="58"/>
      <c r="FH28" s="58"/>
      <c r="FI28" s="58"/>
      <c r="FJ28" s="58"/>
      <c r="FK28" s="58"/>
      <c r="FL28" s="58"/>
      <c r="FM28" s="58"/>
      <c r="FN28" s="58"/>
      <c r="FO28" s="58"/>
      <c r="FP28" s="58"/>
      <c r="FQ28" s="58"/>
      <c r="FR28" s="58"/>
      <c r="FS28" s="58"/>
      <c r="FT28" s="58"/>
      <c r="FU28" s="58"/>
      <c r="FV28" s="58"/>
    </row>
    <row r="29" spans="1:178">
      <c r="A29" s="1058"/>
      <c r="B29" s="2" t="s">
        <v>312</v>
      </c>
      <c r="C29" s="362" t="s">
        <v>313</v>
      </c>
      <c r="D29" s="362">
        <v>0.622</v>
      </c>
      <c r="E29" s="58"/>
      <c r="F29" s="27" t="s">
        <v>175</v>
      </c>
      <c r="G29" s="411">
        <f>$D$29*G12</f>
        <v>55980</v>
      </c>
      <c r="H29" s="411">
        <f t="shared" ref="H29:BS29" si="14">$D$29*H12</f>
        <v>55980</v>
      </c>
      <c r="I29" s="411">
        <f t="shared" si="14"/>
        <v>55980</v>
      </c>
      <c r="J29" s="411">
        <f t="shared" si="14"/>
        <v>55980</v>
      </c>
      <c r="K29" s="411">
        <f t="shared" si="14"/>
        <v>55980</v>
      </c>
      <c r="L29" s="411">
        <f t="shared" si="14"/>
        <v>55980</v>
      </c>
      <c r="M29" s="411">
        <f t="shared" si="14"/>
        <v>55980</v>
      </c>
      <c r="N29" s="411">
        <f t="shared" si="14"/>
        <v>55980</v>
      </c>
      <c r="O29" s="411">
        <f t="shared" si="14"/>
        <v>55980</v>
      </c>
      <c r="P29" s="411">
        <f t="shared" si="14"/>
        <v>55980</v>
      </c>
      <c r="Q29" s="411">
        <f t="shared" si="14"/>
        <v>55980</v>
      </c>
      <c r="R29" s="411">
        <f t="shared" si="14"/>
        <v>55980</v>
      </c>
      <c r="S29" s="411">
        <f t="shared" si="14"/>
        <v>55980</v>
      </c>
      <c r="T29" s="411">
        <f t="shared" si="14"/>
        <v>55980</v>
      </c>
      <c r="U29" s="411">
        <f t="shared" si="14"/>
        <v>55980</v>
      </c>
      <c r="V29" s="411">
        <f t="shared" si="14"/>
        <v>55980</v>
      </c>
      <c r="W29" s="411">
        <f t="shared" si="14"/>
        <v>55980</v>
      </c>
      <c r="X29" s="411">
        <f t="shared" si="14"/>
        <v>55980</v>
      </c>
      <c r="Y29" s="411">
        <f t="shared" si="14"/>
        <v>55980</v>
      </c>
      <c r="Z29" s="411">
        <f t="shared" si="14"/>
        <v>55980</v>
      </c>
      <c r="AA29" s="411">
        <f t="shared" si="14"/>
        <v>55980</v>
      </c>
      <c r="AB29" s="411">
        <f t="shared" si="14"/>
        <v>55980</v>
      </c>
      <c r="AC29" s="411">
        <f t="shared" si="14"/>
        <v>55980</v>
      </c>
      <c r="AD29" s="411">
        <f t="shared" si="14"/>
        <v>55980</v>
      </c>
      <c r="AE29" s="411">
        <f t="shared" si="14"/>
        <v>55980</v>
      </c>
      <c r="AF29" s="411">
        <f t="shared" si="14"/>
        <v>55980</v>
      </c>
      <c r="AG29" s="411">
        <f t="shared" si="14"/>
        <v>55980</v>
      </c>
      <c r="AH29" s="411">
        <f t="shared" si="14"/>
        <v>55980</v>
      </c>
      <c r="AI29" s="411">
        <f t="shared" si="14"/>
        <v>55980</v>
      </c>
      <c r="AJ29" s="411">
        <f t="shared" si="14"/>
        <v>55980</v>
      </c>
      <c r="AK29" s="411">
        <f t="shared" si="14"/>
        <v>55980</v>
      </c>
      <c r="AL29" s="411">
        <f t="shared" si="14"/>
        <v>55980</v>
      </c>
      <c r="AM29" s="411">
        <f t="shared" si="14"/>
        <v>55980</v>
      </c>
      <c r="AN29" s="411">
        <f t="shared" si="14"/>
        <v>55980</v>
      </c>
      <c r="AO29" s="411">
        <f t="shared" si="14"/>
        <v>55980</v>
      </c>
      <c r="AP29" s="411">
        <f t="shared" si="14"/>
        <v>55980</v>
      </c>
      <c r="AQ29" s="411">
        <f t="shared" si="14"/>
        <v>55980</v>
      </c>
      <c r="AR29" s="411">
        <f t="shared" si="14"/>
        <v>55980</v>
      </c>
      <c r="AS29" s="411">
        <f t="shared" si="14"/>
        <v>55980</v>
      </c>
      <c r="AT29" s="411">
        <f t="shared" si="14"/>
        <v>55980</v>
      </c>
      <c r="AU29" s="411">
        <f t="shared" si="14"/>
        <v>55980</v>
      </c>
      <c r="AV29" s="411">
        <f t="shared" si="14"/>
        <v>55980</v>
      </c>
      <c r="AW29" s="411">
        <f t="shared" si="14"/>
        <v>55980</v>
      </c>
      <c r="AX29" s="411">
        <f t="shared" si="14"/>
        <v>55980</v>
      </c>
      <c r="AY29" s="411">
        <f t="shared" si="14"/>
        <v>55980</v>
      </c>
      <c r="AZ29" s="411">
        <f t="shared" si="14"/>
        <v>55980</v>
      </c>
      <c r="BA29" s="411">
        <f t="shared" si="14"/>
        <v>55980</v>
      </c>
      <c r="BB29" s="411">
        <f t="shared" si="14"/>
        <v>55980</v>
      </c>
      <c r="BC29" s="411">
        <f t="shared" si="14"/>
        <v>55980</v>
      </c>
      <c r="BD29" s="411">
        <f t="shared" si="14"/>
        <v>55980</v>
      </c>
      <c r="BE29" s="411">
        <f t="shared" si="14"/>
        <v>55980</v>
      </c>
      <c r="BF29" s="411">
        <f t="shared" si="14"/>
        <v>55980</v>
      </c>
      <c r="BG29" s="411">
        <f t="shared" si="14"/>
        <v>55980</v>
      </c>
      <c r="BH29" s="411">
        <f t="shared" si="14"/>
        <v>55980</v>
      </c>
      <c r="BI29" s="411">
        <f t="shared" si="14"/>
        <v>55980</v>
      </c>
      <c r="BJ29" s="411">
        <f t="shared" si="14"/>
        <v>55980</v>
      </c>
      <c r="BK29" s="411">
        <f t="shared" si="14"/>
        <v>55980</v>
      </c>
      <c r="BL29" s="411">
        <f t="shared" si="14"/>
        <v>55980</v>
      </c>
      <c r="BM29" s="411">
        <f t="shared" si="14"/>
        <v>55980</v>
      </c>
      <c r="BN29" s="411">
        <f t="shared" si="14"/>
        <v>55980</v>
      </c>
      <c r="BO29" s="411">
        <f t="shared" si="14"/>
        <v>55980</v>
      </c>
      <c r="BP29" s="411">
        <f t="shared" si="14"/>
        <v>55980</v>
      </c>
      <c r="BQ29" s="411">
        <f t="shared" si="14"/>
        <v>55980</v>
      </c>
      <c r="BR29" s="411">
        <f t="shared" si="14"/>
        <v>55980</v>
      </c>
      <c r="BS29" s="411">
        <f t="shared" si="14"/>
        <v>55980</v>
      </c>
      <c r="BT29" s="411">
        <f t="shared" ref="BT29:CL29" si="15">$D$29*BT12</f>
        <v>55980</v>
      </c>
      <c r="BU29" s="411">
        <f t="shared" si="15"/>
        <v>55980</v>
      </c>
      <c r="BV29" s="411">
        <f t="shared" si="15"/>
        <v>55980</v>
      </c>
      <c r="BW29" s="411">
        <f t="shared" si="15"/>
        <v>55980</v>
      </c>
      <c r="BX29" s="411">
        <f t="shared" si="15"/>
        <v>55980</v>
      </c>
      <c r="BY29" s="411">
        <f t="shared" si="15"/>
        <v>55980</v>
      </c>
      <c r="BZ29" s="411">
        <f t="shared" si="15"/>
        <v>55980</v>
      </c>
      <c r="CA29" s="411">
        <f t="shared" si="15"/>
        <v>55980</v>
      </c>
      <c r="CB29" s="411">
        <f t="shared" si="15"/>
        <v>55980</v>
      </c>
      <c r="CC29" s="411">
        <f t="shared" si="15"/>
        <v>55980</v>
      </c>
      <c r="CD29" s="411">
        <f t="shared" si="15"/>
        <v>55980</v>
      </c>
      <c r="CE29" s="411">
        <f t="shared" si="15"/>
        <v>55980</v>
      </c>
      <c r="CF29" s="411">
        <f t="shared" si="15"/>
        <v>55980</v>
      </c>
      <c r="CG29" s="411">
        <f t="shared" si="15"/>
        <v>55980</v>
      </c>
      <c r="CH29" s="411">
        <f t="shared" si="15"/>
        <v>55980</v>
      </c>
      <c r="CI29" s="411">
        <f t="shared" si="15"/>
        <v>55980</v>
      </c>
      <c r="CJ29" s="411">
        <f t="shared" si="15"/>
        <v>55980</v>
      </c>
      <c r="CK29" s="411">
        <f t="shared" si="15"/>
        <v>55980</v>
      </c>
      <c r="CL29" s="411">
        <f t="shared" si="15"/>
        <v>55980</v>
      </c>
      <c r="CM29" s="411">
        <f t="shared" si="1"/>
        <v>55980</v>
      </c>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c r="EB29" s="58"/>
      <c r="EC29" s="58"/>
      <c r="ED29" s="58"/>
      <c r="EE29" s="58"/>
      <c r="EF29" s="58"/>
      <c r="EG29" s="58"/>
      <c r="EH29" s="58"/>
      <c r="EI29" s="58"/>
      <c r="EJ29" s="58"/>
      <c r="EK29" s="58"/>
      <c r="EL29" s="58"/>
      <c r="EM29" s="58"/>
      <c r="EN29" s="58"/>
      <c r="EO29" s="58"/>
      <c r="EP29" s="58"/>
      <c r="EQ29" s="58"/>
      <c r="ER29" s="58"/>
      <c r="ES29" s="58"/>
      <c r="ET29" s="58"/>
      <c r="EU29" s="58"/>
      <c r="EV29" s="58"/>
      <c r="EW29" s="58"/>
      <c r="EX29" s="58"/>
      <c r="EY29" s="58"/>
      <c r="EZ29" s="58"/>
      <c r="FA29" s="58"/>
      <c r="FB29" s="58"/>
      <c r="FC29" s="58"/>
      <c r="FD29" s="58"/>
      <c r="FE29" s="58"/>
      <c r="FF29" s="58"/>
      <c r="FG29" s="58"/>
      <c r="FH29" s="58"/>
      <c r="FI29" s="58"/>
      <c r="FJ29" s="58"/>
      <c r="FK29" s="58"/>
      <c r="FL29" s="58"/>
      <c r="FM29" s="58"/>
      <c r="FN29" s="58"/>
      <c r="FO29" s="58"/>
      <c r="FP29" s="58"/>
      <c r="FQ29" s="58"/>
      <c r="FR29" s="58"/>
      <c r="FS29" s="58"/>
      <c r="FT29" s="58"/>
      <c r="FU29" s="58"/>
      <c r="FV29" s="58"/>
    </row>
    <row r="30" spans="1:178">
      <c r="A30" s="1058"/>
      <c r="B30" s="2" t="s">
        <v>312</v>
      </c>
      <c r="C30" s="362" t="s">
        <v>313</v>
      </c>
      <c r="D30" s="362">
        <v>1.4999999999999999E-2</v>
      </c>
      <c r="E30" s="58"/>
      <c r="F30" s="27" t="s">
        <v>176</v>
      </c>
      <c r="G30" s="411">
        <f>$D$30*G13</f>
        <v>306.25</v>
      </c>
      <c r="H30" s="411">
        <f t="shared" ref="H30:BS30" si="16">$D$30*H13</f>
        <v>306.25</v>
      </c>
      <c r="I30" s="411">
        <f t="shared" si="16"/>
        <v>306.25</v>
      </c>
      <c r="J30" s="411">
        <f t="shared" si="16"/>
        <v>306.25</v>
      </c>
      <c r="K30" s="411">
        <f t="shared" si="16"/>
        <v>306.25</v>
      </c>
      <c r="L30" s="411">
        <f t="shared" si="16"/>
        <v>306.25</v>
      </c>
      <c r="M30" s="411">
        <f t="shared" si="16"/>
        <v>306.25</v>
      </c>
      <c r="N30" s="411">
        <f t="shared" si="16"/>
        <v>306.25</v>
      </c>
      <c r="O30" s="411">
        <f t="shared" si="16"/>
        <v>306.25</v>
      </c>
      <c r="P30" s="411">
        <f t="shared" si="16"/>
        <v>306.25</v>
      </c>
      <c r="Q30" s="411">
        <f t="shared" si="16"/>
        <v>306.25</v>
      </c>
      <c r="R30" s="411">
        <f t="shared" si="16"/>
        <v>306.25</v>
      </c>
      <c r="S30" s="411">
        <f t="shared" si="16"/>
        <v>306.25</v>
      </c>
      <c r="T30" s="411">
        <f t="shared" si="16"/>
        <v>306.25</v>
      </c>
      <c r="U30" s="411">
        <f t="shared" si="16"/>
        <v>306.25</v>
      </c>
      <c r="V30" s="411">
        <f t="shared" si="16"/>
        <v>306.25</v>
      </c>
      <c r="W30" s="411">
        <f t="shared" si="16"/>
        <v>306.25</v>
      </c>
      <c r="X30" s="411">
        <f t="shared" si="16"/>
        <v>306.25</v>
      </c>
      <c r="Y30" s="411">
        <f t="shared" si="16"/>
        <v>306.25</v>
      </c>
      <c r="Z30" s="411">
        <f t="shared" si="16"/>
        <v>306.25</v>
      </c>
      <c r="AA30" s="411">
        <f t="shared" si="16"/>
        <v>306.25</v>
      </c>
      <c r="AB30" s="411">
        <f t="shared" si="16"/>
        <v>306.25</v>
      </c>
      <c r="AC30" s="411">
        <f t="shared" si="16"/>
        <v>306.25</v>
      </c>
      <c r="AD30" s="411">
        <f t="shared" si="16"/>
        <v>306.25</v>
      </c>
      <c r="AE30" s="411">
        <f t="shared" si="16"/>
        <v>306.25</v>
      </c>
      <c r="AF30" s="411">
        <f t="shared" si="16"/>
        <v>306.25</v>
      </c>
      <c r="AG30" s="411">
        <f t="shared" si="16"/>
        <v>306.25</v>
      </c>
      <c r="AH30" s="411">
        <f t="shared" si="16"/>
        <v>306.25</v>
      </c>
      <c r="AI30" s="411">
        <f t="shared" si="16"/>
        <v>306.25</v>
      </c>
      <c r="AJ30" s="411">
        <f t="shared" si="16"/>
        <v>306.25</v>
      </c>
      <c r="AK30" s="411">
        <f t="shared" si="16"/>
        <v>306.25</v>
      </c>
      <c r="AL30" s="411">
        <f t="shared" si="16"/>
        <v>306.25</v>
      </c>
      <c r="AM30" s="411">
        <f t="shared" si="16"/>
        <v>306.25</v>
      </c>
      <c r="AN30" s="411">
        <f t="shared" si="16"/>
        <v>306.25</v>
      </c>
      <c r="AO30" s="411">
        <f t="shared" si="16"/>
        <v>306.25</v>
      </c>
      <c r="AP30" s="411">
        <f t="shared" si="16"/>
        <v>306.25</v>
      </c>
      <c r="AQ30" s="411">
        <f t="shared" si="16"/>
        <v>306.25</v>
      </c>
      <c r="AR30" s="411">
        <f t="shared" si="16"/>
        <v>306.25</v>
      </c>
      <c r="AS30" s="411">
        <f t="shared" si="16"/>
        <v>306.25</v>
      </c>
      <c r="AT30" s="411">
        <f t="shared" si="16"/>
        <v>306.25</v>
      </c>
      <c r="AU30" s="411">
        <f t="shared" si="16"/>
        <v>306.25</v>
      </c>
      <c r="AV30" s="411">
        <f t="shared" si="16"/>
        <v>306.25</v>
      </c>
      <c r="AW30" s="411">
        <f t="shared" si="16"/>
        <v>306.25</v>
      </c>
      <c r="AX30" s="411">
        <f t="shared" si="16"/>
        <v>306.25</v>
      </c>
      <c r="AY30" s="411">
        <f t="shared" si="16"/>
        <v>306.25</v>
      </c>
      <c r="AZ30" s="411">
        <f t="shared" si="16"/>
        <v>306.25</v>
      </c>
      <c r="BA30" s="411">
        <f t="shared" si="16"/>
        <v>306.25</v>
      </c>
      <c r="BB30" s="411">
        <f t="shared" si="16"/>
        <v>306.25</v>
      </c>
      <c r="BC30" s="411">
        <f t="shared" si="16"/>
        <v>306.25</v>
      </c>
      <c r="BD30" s="411">
        <f t="shared" si="16"/>
        <v>306.25</v>
      </c>
      <c r="BE30" s="411">
        <f t="shared" si="16"/>
        <v>306.25</v>
      </c>
      <c r="BF30" s="411">
        <f t="shared" si="16"/>
        <v>306.25</v>
      </c>
      <c r="BG30" s="411">
        <f t="shared" si="16"/>
        <v>306.25</v>
      </c>
      <c r="BH30" s="411">
        <f t="shared" si="16"/>
        <v>306.25</v>
      </c>
      <c r="BI30" s="411">
        <f t="shared" si="16"/>
        <v>306.25</v>
      </c>
      <c r="BJ30" s="411">
        <f t="shared" si="16"/>
        <v>306.25</v>
      </c>
      <c r="BK30" s="411">
        <f t="shared" si="16"/>
        <v>306.25</v>
      </c>
      <c r="BL30" s="411">
        <f t="shared" si="16"/>
        <v>306.25</v>
      </c>
      <c r="BM30" s="411">
        <f t="shared" si="16"/>
        <v>306.25</v>
      </c>
      <c r="BN30" s="411">
        <f t="shared" si="16"/>
        <v>306.25</v>
      </c>
      <c r="BO30" s="411">
        <f t="shared" si="16"/>
        <v>306.25</v>
      </c>
      <c r="BP30" s="411">
        <f t="shared" si="16"/>
        <v>306.25</v>
      </c>
      <c r="BQ30" s="411">
        <f t="shared" si="16"/>
        <v>306.25</v>
      </c>
      <c r="BR30" s="411">
        <f t="shared" si="16"/>
        <v>306.25</v>
      </c>
      <c r="BS30" s="411">
        <f t="shared" si="16"/>
        <v>306.25</v>
      </c>
      <c r="BT30" s="411">
        <f t="shared" ref="BT30:CL30" si="17">$D$30*BT13</f>
        <v>306.25</v>
      </c>
      <c r="BU30" s="411">
        <f t="shared" si="17"/>
        <v>306.25</v>
      </c>
      <c r="BV30" s="411">
        <f t="shared" si="17"/>
        <v>306.25</v>
      </c>
      <c r="BW30" s="411">
        <f t="shared" si="17"/>
        <v>306.25</v>
      </c>
      <c r="BX30" s="411">
        <f t="shared" si="17"/>
        <v>306.25</v>
      </c>
      <c r="BY30" s="411">
        <f t="shared" si="17"/>
        <v>306.25</v>
      </c>
      <c r="BZ30" s="411">
        <f t="shared" si="17"/>
        <v>306.25</v>
      </c>
      <c r="CA30" s="411">
        <f t="shared" si="17"/>
        <v>306.25</v>
      </c>
      <c r="CB30" s="411">
        <f t="shared" si="17"/>
        <v>306.25</v>
      </c>
      <c r="CC30" s="411">
        <f t="shared" si="17"/>
        <v>306.25</v>
      </c>
      <c r="CD30" s="411">
        <f t="shared" si="17"/>
        <v>306.25</v>
      </c>
      <c r="CE30" s="411">
        <f t="shared" si="17"/>
        <v>306.25</v>
      </c>
      <c r="CF30" s="411">
        <f t="shared" si="17"/>
        <v>306.25</v>
      </c>
      <c r="CG30" s="411">
        <f t="shared" si="17"/>
        <v>306.25</v>
      </c>
      <c r="CH30" s="411">
        <f t="shared" si="17"/>
        <v>306.25</v>
      </c>
      <c r="CI30" s="411">
        <f t="shared" si="17"/>
        <v>306.25</v>
      </c>
      <c r="CJ30" s="411">
        <f t="shared" si="17"/>
        <v>306.25</v>
      </c>
      <c r="CK30" s="411">
        <f t="shared" si="17"/>
        <v>306.25</v>
      </c>
      <c r="CL30" s="411">
        <f t="shared" si="17"/>
        <v>306.25</v>
      </c>
      <c r="CM30" s="411">
        <f t="shared" si="1"/>
        <v>306.25</v>
      </c>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c r="EB30" s="58"/>
      <c r="EC30" s="58"/>
      <c r="ED30" s="58"/>
      <c r="EE30" s="58"/>
      <c r="EF30" s="58"/>
      <c r="EG30" s="58"/>
      <c r="EH30" s="58"/>
      <c r="EI30" s="58"/>
      <c r="EJ30" s="58"/>
      <c r="EK30" s="58"/>
      <c r="EL30" s="58"/>
      <c r="EM30" s="58"/>
      <c r="EN30" s="58"/>
      <c r="EO30" s="58"/>
      <c r="EP30" s="58"/>
      <c r="EQ30" s="58"/>
      <c r="ER30" s="58"/>
      <c r="ES30" s="58"/>
      <c r="ET30" s="58"/>
      <c r="EU30" s="58"/>
      <c r="EV30" s="58"/>
      <c r="EW30" s="58"/>
      <c r="EX30" s="58"/>
      <c r="EY30" s="58"/>
      <c r="EZ30" s="58"/>
      <c r="FA30" s="58"/>
      <c r="FB30" s="58"/>
      <c r="FC30" s="58"/>
      <c r="FD30" s="58"/>
      <c r="FE30" s="58"/>
      <c r="FF30" s="58"/>
      <c r="FG30" s="58"/>
      <c r="FH30" s="58"/>
      <c r="FI30" s="58"/>
      <c r="FJ30" s="58"/>
      <c r="FK30" s="58"/>
      <c r="FL30" s="58"/>
      <c r="FM30" s="58"/>
      <c r="FN30" s="58"/>
      <c r="FO30" s="58"/>
      <c r="FP30" s="58"/>
      <c r="FQ30" s="58"/>
      <c r="FR30" s="58"/>
      <c r="FS30" s="58"/>
      <c r="FT30" s="58"/>
      <c r="FU30" s="58"/>
      <c r="FV30" s="58"/>
    </row>
    <row r="31" spans="1:178">
      <c r="A31" s="1058"/>
      <c r="B31" s="2" t="s">
        <v>312</v>
      </c>
      <c r="C31" s="362" t="s">
        <v>313</v>
      </c>
      <c r="D31" s="362">
        <v>1.9E-2</v>
      </c>
      <c r="E31" s="58"/>
      <c r="F31" s="27" t="s">
        <v>177</v>
      </c>
      <c r="G31" s="411">
        <f>$D$31*G14</f>
        <v>215.33333333333334</v>
      </c>
      <c r="H31" s="411">
        <f t="shared" ref="H31:BS31" si="18">$D$31*H14</f>
        <v>215.33333333333334</v>
      </c>
      <c r="I31" s="411">
        <f t="shared" si="18"/>
        <v>215.33333333333334</v>
      </c>
      <c r="J31" s="411">
        <f t="shared" si="18"/>
        <v>215.33333333333334</v>
      </c>
      <c r="K31" s="411">
        <f t="shared" si="18"/>
        <v>215.33333333333334</v>
      </c>
      <c r="L31" s="411">
        <f t="shared" si="18"/>
        <v>215.33333333333334</v>
      </c>
      <c r="M31" s="411">
        <f t="shared" si="18"/>
        <v>215.33333333333334</v>
      </c>
      <c r="N31" s="411">
        <f t="shared" si="18"/>
        <v>215.33333333333334</v>
      </c>
      <c r="O31" s="411">
        <f t="shared" si="18"/>
        <v>215.33333333333334</v>
      </c>
      <c r="P31" s="411">
        <f t="shared" si="18"/>
        <v>215.33333333333334</v>
      </c>
      <c r="Q31" s="411">
        <f t="shared" si="18"/>
        <v>215.33333333333334</v>
      </c>
      <c r="R31" s="411">
        <f t="shared" si="18"/>
        <v>215.33333333333334</v>
      </c>
      <c r="S31" s="411">
        <f t="shared" si="18"/>
        <v>215.33333333333334</v>
      </c>
      <c r="T31" s="411">
        <f t="shared" si="18"/>
        <v>215.33333333333334</v>
      </c>
      <c r="U31" s="411">
        <f t="shared" si="18"/>
        <v>215.33333333333334</v>
      </c>
      <c r="V31" s="411">
        <f t="shared" si="18"/>
        <v>215.33333333333334</v>
      </c>
      <c r="W31" s="411">
        <f t="shared" si="18"/>
        <v>215.33333333333334</v>
      </c>
      <c r="X31" s="411">
        <f t="shared" si="18"/>
        <v>215.33333333333334</v>
      </c>
      <c r="Y31" s="411">
        <f t="shared" si="18"/>
        <v>215.33333333333334</v>
      </c>
      <c r="Z31" s="411">
        <f t="shared" si="18"/>
        <v>215.33333333333334</v>
      </c>
      <c r="AA31" s="411">
        <f t="shared" si="18"/>
        <v>215.33333333333334</v>
      </c>
      <c r="AB31" s="411">
        <f t="shared" si="18"/>
        <v>215.33333333333334</v>
      </c>
      <c r="AC31" s="411">
        <f t="shared" si="18"/>
        <v>215.33333333333334</v>
      </c>
      <c r="AD31" s="411">
        <f t="shared" si="18"/>
        <v>215.33333333333334</v>
      </c>
      <c r="AE31" s="411">
        <f t="shared" si="18"/>
        <v>215.33333333333334</v>
      </c>
      <c r="AF31" s="411">
        <f t="shared" si="18"/>
        <v>215.33333333333334</v>
      </c>
      <c r="AG31" s="411">
        <f t="shared" si="18"/>
        <v>215.33333333333334</v>
      </c>
      <c r="AH31" s="411">
        <f t="shared" si="18"/>
        <v>215.33333333333334</v>
      </c>
      <c r="AI31" s="411">
        <f t="shared" si="18"/>
        <v>215.33333333333334</v>
      </c>
      <c r="AJ31" s="411">
        <f t="shared" si="18"/>
        <v>215.33333333333334</v>
      </c>
      <c r="AK31" s="411">
        <f t="shared" si="18"/>
        <v>215.33333333333334</v>
      </c>
      <c r="AL31" s="411">
        <f t="shared" si="18"/>
        <v>215.33333333333334</v>
      </c>
      <c r="AM31" s="411">
        <f t="shared" si="18"/>
        <v>215.33333333333334</v>
      </c>
      <c r="AN31" s="411">
        <f t="shared" si="18"/>
        <v>215.33333333333334</v>
      </c>
      <c r="AO31" s="411">
        <f t="shared" si="18"/>
        <v>215.33333333333334</v>
      </c>
      <c r="AP31" s="411">
        <f t="shared" si="18"/>
        <v>215.33333333333334</v>
      </c>
      <c r="AQ31" s="411">
        <f t="shared" si="18"/>
        <v>215.33333333333334</v>
      </c>
      <c r="AR31" s="411">
        <f t="shared" si="18"/>
        <v>215.33333333333334</v>
      </c>
      <c r="AS31" s="411">
        <f t="shared" si="18"/>
        <v>215.33333333333334</v>
      </c>
      <c r="AT31" s="411">
        <f t="shared" si="18"/>
        <v>215.33333333333334</v>
      </c>
      <c r="AU31" s="411">
        <f t="shared" si="18"/>
        <v>215.33333333333334</v>
      </c>
      <c r="AV31" s="411">
        <f t="shared" si="18"/>
        <v>215.33333333333334</v>
      </c>
      <c r="AW31" s="411">
        <f t="shared" si="18"/>
        <v>215.33333333333334</v>
      </c>
      <c r="AX31" s="411">
        <f t="shared" si="18"/>
        <v>215.33333333333334</v>
      </c>
      <c r="AY31" s="411">
        <f t="shared" si="18"/>
        <v>215.33333333333334</v>
      </c>
      <c r="AZ31" s="411">
        <f t="shared" si="18"/>
        <v>215.33333333333334</v>
      </c>
      <c r="BA31" s="411">
        <f t="shared" si="18"/>
        <v>215.33333333333334</v>
      </c>
      <c r="BB31" s="411">
        <f t="shared" si="18"/>
        <v>215.33333333333334</v>
      </c>
      <c r="BC31" s="411">
        <f t="shared" si="18"/>
        <v>215.33333333333334</v>
      </c>
      <c r="BD31" s="411">
        <f t="shared" si="18"/>
        <v>215.33333333333334</v>
      </c>
      <c r="BE31" s="411">
        <f t="shared" si="18"/>
        <v>215.33333333333334</v>
      </c>
      <c r="BF31" s="411">
        <f t="shared" si="18"/>
        <v>215.33333333333334</v>
      </c>
      <c r="BG31" s="411">
        <f t="shared" si="18"/>
        <v>215.33333333333334</v>
      </c>
      <c r="BH31" s="411">
        <f t="shared" si="18"/>
        <v>215.33333333333334</v>
      </c>
      <c r="BI31" s="411">
        <f t="shared" si="18"/>
        <v>215.33333333333334</v>
      </c>
      <c r="BJ31" s="411">
        <f t="shared" si="18"/>
        <v>215.33333333333334</v>
      </c>
      <c r="BK31" s="411">
        <f t="shared" si="18"/>
        <v>215.33333333333334</v>
      </c>
      <c r="BL31" s="411">
        <f t="shared" si="18"/>
        <v>215.33333333333334</v>
      </c>
      <c r="BM31" s="411">
        <f t="shared" si="18"/>
        <v>215.33333333333334</v>
      </c>
      <c r="BN31" s="411">
        <f t="shared" si="18"/>
        <v>215.33333333333334</v>
      </c>
      <c r="BO31" s="411">
        <f t="shared" si="18"/>
        <v>215.33333333333334</v>
      </c>
      <c r="BP31" s="411">
        <f t="shared" si="18"/>
        <v>215.33333333333334</v>
      </c>
      <c r="BQ31" s="411">
        <f t="shared" si="18"/>
        <v>215.33333333333334</v>
      </c>
      <c r="BR31" s="411">
        <f t="shared" si="18"/>
        <v>215.33333333333334</v>
      </c>
      <c r="BS31" s="411">
        <f t="shared" si="18"/>
        <v>215.33333333333334</v>
      </c>
      <c r="BT31" s="411">
        <f t="shared" ref="BT31:CL31" si="19">$D$31*BT14</f>
        <v>215.33333333333334</v>
      </c>
      <c r="BU31" s="411">
        <f t="shared" si="19"/>
        <v>215.33333333333334</v>
      </c>
      <c r="BV31" s="411">
        <f t="shared" si="19"/>
        <v>215.33333333333334</v>
      </c>
      <c r="BW31" s="411">
        <f t="shared" si="19"/>
        <v>215.33333333333334</v>
      </c>
      <c r="BX31" s="411">
        <f t="shared" si="19"/>
        <v>215.33333333333334</v>
      </c>
      <c r="BY31" s="411">
        <f t="shared" si="19"/>
        <v>215.33333333333334</v>
      </c>
      <c r="BZ31" s="411">
        <f t="shared" si="19"/>
        <v>215.33333333333334</v>
      </c>
      <c r="CA31" s="411">
        <f t="shared" si="19"/>
        <v>215.33333333333334</v>
      </c>
      <c r="CB31" s="411">
        <f t="shared" si="19"/>
        <v>215.33333333333334</v>
      </c>
      <c r="CC31" s="411">
        <f t="shared" si="19"/>
        <v>215.33333333333334</v>
      </c>
      <c r="CD31" s="411">
        <f t="shared" si="19"/>
        <v>215.33333333333334</v>
      </c>
      <c r="CE31" s="411">
        <f t="shared" si="19"/>
        <v>215.33333333333334</v>
      </c>
      <c r="CF31" s="411">
        <f t="shared" si="19"/>
        <v>215.33333333333334</v>
      </c>
      <c r="CG31" s="411">
        <f t="shared" si="19"/>
        <v>215.33333333333334</v>
      </c>
      <c r="CH31" s="411">
        <f t="shared" si="19"/>
        <v>215.33333333333334</v>
      </c>
      <c r="CI31" s="411">
        <f t="shared" si="19"/>
        <v>215.33333333333334</v>
      </c>
      <c r="CJ31" s="411">
        <f t="shared" si="19"/>
        <v>215.33333333333334</v>
      </c>
      <c r="CK31" s="411">
        <f t="shared" si="19"/>
        <v>215.33333333333334</v>
      </c>
      <c r="CL31" s="411">
        <f t="shared" si="19"/>
        <v>215.33333333333334</v>
      </c>
      <c r="CM31" s="411">
        <f t="shared" si="1"/>
        <v>215.33333333333346</v>
      </c>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c r="EB31" s="58"/>
      <c r="EC31" s="58"/>
      <c r="ED31" s="58"/>
      <c r="EE31" s="58"/>
      <c r="EF31" s="58"/>
      <c r="EG31" s="58"/>
      <c r="EH31" s="58"/>
      <c r="EI31" s="58"/>
      <c r="EJ31" s="58"/>
      <c r="EK31" s="58"/>
      <c r="EL31" s="58"/>
      <c r="EM31" s="58"/>
      <c r="EN31" s="58"/>
      <c r="EO31" s="58"/>
      <c r="EP31" s="58"/>
      <c r="EQ31" s="58"/>
      <c r="ER31" s="58"/>
      <c r="ES31" s="58"/>
      <c r="ET31" s="58"/>
      <c r="EU31" s="58"/>
      <c r="EV31" s="58"/>
      <c r="EW31" s="58"/>
      <c r="EX31" s="58"/>
      <c r="EY31" s="58"/>
      <c r="EZ31" s="58"/>
      <c r="FA31" s="58"/>
      <c r="FB31" s="58"/>
      <c r="FC31" s="58"/>
      <c r="FD31" s="58"/>
      <c r="FE31" s="58"/>
      <c r="FF31" s="58"/>
      <c r="FG31" s="58"/>
      <c r="FH31" s="58"/>
      <c r="FI31" s="58"/>
      <c r="FJ31" s="58"/>
      <c r="FK31" s="58"/>
      <c r="FL31" s="58"/>
      <c r="FM31" s="58"/>
      <c r="FN31" s="58"/>
      <c r="FO31" s="58"/>
      <c r="FP31" s="58"/>
      <c r="FQ31" s="58"/>
      <c r="FR31" s="58"/>
      <c r="FS31" s="58"/>
      <c r="FT31" s="58"/>
      <c r="FU31" s="58"/>
      <c r="FV31" s="58"/>
    </row>
    <row r="32" spans="1:178">
      <c r="A32" s="1058"/>
      <c r="B32" s="2" t="s">
        <v>312</v>
      </c>
      <c r="C32" s="362" t="s">
        <v>313</v>
      </c>
      <c r="D32" s="362">
        <v>1.1900000000000001E-2</v>
      </c>
      <c r="E32" s="58"/>
      <c r="F32" s="27" t="s">
        <v>178</v>
      </c>
      <c r="G32" s="411">
        <f>$D$32*G15</f>
        <v>1062.075</v>
      </c>
      <c r="H32" s="411">
        <f t="shared" ref="H32:BS32" si="20">$D$32*H15</f>
        <v>1062.075</v>
      </c>
      <c r="I32" s="411">
        <f t="shared" si="20"/>
        <v>1062.075</v>
      </c>
      <c r="J32" s="411">
        <f t="shared" si="20"/>
        <v>1062.075</v>
      </c>
      <c r="K32" s="411">
        <f t="shared" si="20"/>
        <v>1062.075</v>
      </c>
      <c r="L32" s="411">
        <f t="shared" si="20"/>
        <v>1062.075</v>
      </c>
      <c r="M32" s="411">
        <f t="shared" si="20"/>
        <v>1062.075</v>
      </c>
      <c r="N32" s="411">
        <f t="shared" si="20"/>
        <v>1062.075</v>
      </c>
      <c r="O32" s="411">
        <f t="shared" si="20"/>
        <v>1062.075</v>
      </c>
      <c r="P32" s="411">
        <f t="shared" si="20"/>
        <v>1062.075</v>
      </c>
      <c r="Q32" s="411">
        <f t="shared" si="20"/>
        <v>1062.075</v>
      </c>
      <c r="R32" s="411">
        <f t="shared" si="20"/>
        <v>1062.075</v>
      </c>
      <c r="S32" s="411">
        <f t="shared" si="20"/>
        <v>1062.075</v>
      </c>
      <c r="T32" s="411">
        <f t="shared" si="20"/>
        <v>1062.075</v>
      </c>
      <c r="U32" s="411">
        <f t="shared" si="20"/>
        <v>1062.075</v>
      </c>
      <c r="V32" s="411">
        <f t="shared" si="20"/>
        <v>1062.075</v>
      </c>
      <c r="W32" s="411">
        <f t="shared" si="20"/>
        <v>1062.075</v>
      </c>
      <c r="X32" s="411">
        <f t="shared" si="20"/>
        <v>1062.075</v>
      </c>
      <c r="Y32" s="411">
        <f t="shared" si="20"/>
        <v>1062.075</v>
      </c>
      <c r="Z32" s="411">
        <f t="shared" si="20"/>
        <v>1062.075</v>
      </c>
      <c r="AA32" s="411">
        <f t="shared" si="20"/>
        <v>1062.075</v>
      </c>
      <c r="AB32" s="411">
        <f t="shared" si="20"/>
        <v>1062.075</v>
      </c>
      <c r="AC32" s="411">
        <f t="shared" si="20"/>
        <v>1062.075</v>
      </c>
      <c r="AD32" s="411">
        <f t="shared" si="20"/>
        <v>1062.075</v>
      </c>
      <c r="AE32" s="411">
        <f t="shared" si="20"/>
        <v>1062.075</v>
      </c>
      <c r="AF32" s="411">
        <f t="shared" si="20"/>
        <v>1062.075</v>
      </c>
      <c r="AG32" s="411">
        <f t="shared" si="20"/>
        <v>1062.075</v>
      </c>
      <c r="AH32" s="411">
        <f t="shared" si="20"/>
        <v>1062.075</v>
      </c>
      <c r="AI32" s="411">
        <f t="shared" si="20"/>
        <v>1062.075</v>
      </c>
      <c r="AJ32" s="411">
        <f t="shared" si="20"/>
        <v>1062.075</v>
      </c>
      <c r="AK32" s="411">
        <f t="shared" si="20"/>
        <v>1062.075</v>
      </c>
      <c r="AL32" s="411">
        <f t="shared" si="20"/>
        <v>1062.075</v>
      </c>
      <c r="AM32" s="411">
        <f t="shared" si="20"/>
        <v>1062.075</v>
      </c>
      <c r="AN32" s="411">
        <f t="shared" si="20"/>
        <v>1062.075</v>
      </c>
      <c r="AO32" s="411">
        <f t="shared" si="20"/>
        <v>1062.075</v>
      </c>
      <c r="AP32" s="411">
        <f t="shared" si="20"/>
        <v>1062.075</v>
      </c>
      <c r="AQ32" s="411">
        <f t="shared" si="20"/>
        <v>1062.075</v>
      </c>
      <c r="AR32" s="411">
        <f t="shared" si="20"/>
        <v>1062.075</v>
      </c>
      <c r="AS32" s="411">
        <f t="shared" si="20"/>
        <v>1062.075</v>
      </c>
      <c r="AT32" s="411">
        <f t="shared" si="20"/>
        <v>1062.075</v>
      </c>
      <c r="AU32" s="411">
        <f t="shared" si="20"/>
        <v>1062.075</v>
      </c>
      <c r="AV32" s="411">
        <f t="shared" si="20"/>
        <v>1062.075</v>
      </c>
      <c r="AW32" s="411">
        <f t="shared" si="20"/>
        <v>1062.075</v>
      </c>
      <c r="AX32" s="411">
        <f t="shared" si="20"/>
        <v>1062.075</v>
      </c>
      <c r="AY32" s="411">
        <f t="shared" si="20"/>
        <v>1062.075</v>
      </c>
      <c r="AZ32" s="411">
        <f t="shared" si="20"/>
        <v>1062.075</v>
      </c>
      <c r="BA32" s="411">
        <f t="shared" si="20"/>
        <v>1062.075</v>
      </c>
      <c r="BB32" s="411">
        <f t="shared" si="20"/>
        <v>1062.075</v>
      </c>
      <c r="BC32" s="411">
        <f t="shared" si="20"/>
        <v>1062.075</v>
      </c>
      <c r="BD32" s="411">
        <f t="shared" si="20"/>
        <v>1062.075</v>
      </c>
      <c r="BE32" s="411">
        <f t="shared" si="20"/>
        <v>1062.075</v>
      </c>
      <c r="BF32" s="411">
        <f t="shared" si="20"/>
        <v>1062.075</v>
      </c>
      <c r="BG32" s="411">
        <f t="shared" si="20"/>
        <v>1062.075</v>
      </c>
      <c r="BH32" s="411">
        <f t="shared" si="20"/>
        <v>1062.075</v>
      </c>
      <c r="BI32" s="411">
        <f t="shared" si="20"/>
        <v>1062.075</v>
      </c>
      <c r="BJ32" s="411">
        <f t="shared" si="20"/>
        <v>1062.075</v>
      </c>
      <c r="BK32" s="411">
        <f t="shared" si="20"/>
        <v>1062.075</v>
      </c>
      <c r="BL32" s="411">
        <f t="shared" si="20"/>
        <v>1062.075</v>
      </c>
      <c r="BM32" s="411">
        <f t="shared" si="20"/>
        <v>1062.075</v>
      </c>
      <c r="BN32" s="411">
        <f t="shared" si="20"/>
        <v>1062.075</v>
      </c>
      <c r="BO32" s="411">
        <f t="shared" si="20"/>
        <v>1062.075</v>
      </c>
      <c r="BP32" s="411">
        <f t="shared" si="20"/>
        <v>1062.075</v>
      </c>
      <c r="BQ32" s="411">
        <f t="shared" si="20"/>
        <v>1062.075</v>
      </c>
      <c r="BR32" s="411">
        <f t="shared" si="20"/>
        <v>1062.075</v>
      </c>
      <c r="BS32" s="411">
        <f t="shared" si="20"/>
        <v>1062.075</v>
      </c>
      <c r="BT32" s="411">
        <f t="shared" ref="BT32:CL32" si="21">$D$32*BT15</f>
        <v>1062.075</v>
      </c>
      <c r="BU32" s="411">
        <f t="shared" si="21"/>
        <v>1062.075</v>
      </c>
      <c r="BV32" s="411">
        <f t="shared" si="21"/>
        <v>1062.075</v>
      </c>
      <c r="BW32" s="411">
        <f t="shared" si="21"/>
        <v>1062.075</v>
      </c>
      <c r="BX32" s="411">
        <f t="shared" si="21"/>
        <v>1062.075</v>
      </c>
      <c r="BY32" s="411">
        <f t="shared" si="21"/>
        <v>1062.075</v>
      </c>
      <c r="BZ32" s="411">
        <f t="shared" si="21"/>
        <v>1062.075</v>
      </c>
      <c r="CA32" s="411">
        <f t="shared" si="21"/>
        <v>1062.075</v>
      </c>
      <c r="CB32" s="411">
        <f t="shared" si="21"/>
        <v>1062.075</v>
      </c>
      <c r="CC32" s="411">
        <f t="shared" si="21"/>
        <v>1062.075</v>
      </c>
      <c r="CD32" s="411">
        <f t="shared" si="21"/>
        <v>1062.075</v>
      </c>
      <c r="CE32" s="411">
        <f t="shared" si="21"/>
        <v>1062.075</v>
      </c>
      <c r="CF32" s="411">
        <f t="shared" si="21"/>
        <v>1062.075</v>
      </c>
      <c r="CG32" s="411">
        <f t="shared" si="21"/>
        <v>1062.075</v>
      </c>
      <c r="CH32" s="411">
        <f t="shared" si="21"/>
        <v>1062.075</v>
      </c>
      <c r="CI32" s="411">
        <f t="shared" si="21"/>
        <v>1062.075</v>
      </c>
      <c r="CJ32" s="411">
        <f t="shared" si="21"/>
        <v>1062.075</v>
      </c>
      <c r="CK32" s="411">
        <f t="shared" si="21"/>
        <v>1062.075</v>
      </c>
      <c r="CL32" s="411">
        <f t="shared" si="21"/>
        <v>1062.075</v>
      </c>
      <c r="CM32" s="411">
        <f t="shared" si="1"/>
        <v>1062.0749999999982</v>
      </c>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c r="EB32" s="58"/>
      <c r="EC32" s="58"/>
      <c r="ED32" s="58"/>
      <c r="EE32" s="58"/>
      <c r="EF32" s="58"/>
      <c r="EG32" s="58"/>
      <c r="EH32" s="58"/>
      <c r="EI32" s="58"/>
      <c r="EJ32" s="58"/>
      <c r="EK32" s="58"/>
      <c r="EL32" s="58"/>
      <c r="EM32" s="58"/>
      <c r="EN32" s="58"/>
      <c r="EO32" s="58"/>
      <c r="EP32" s="58"/>
      <c r="EQ32" s="58"/>
      <c r="ER32" s="58"/>
      <c r="ES32" s="58"/>
      <c r="ET32" s="58"/>
      <c r="EU32" s="58"/>
      <c r="EV32" s="58"/>
      <c r="EW32" s="58"/>
      <c r="EX32" s="58"/>
      <c r="EY32" s="58"/>
      <c r="EZ32" s="58"/>
      <c r="FA32" s="58"/>
      <c r="FB32" s="58"/>
      <c r="FC32" s="58"/>
      <c r="FD32" s="58"/>
      <c r="FE32" s="58"/>
      <c r="FF32" s="58"/>
      <c r="FG32" s="58"/>
      <c r="FH32" s="58"/>
      <c r="FI32" s="58"/>
      <c r="FJ32" s="58"/>
      <c r="FK32" s="58"/>
      <c r="FL32" s="58"/>
      <c r="FM32" s="58"/>
      <c r="FN32" s="58"/>
      <c r="FO32" s="58"/>
      <c r="FP32" s="58"/>
      <c r="FQ32" s="58"/>
      <c r="FR32" s="58"/>
      <c r="FS32" s="58"/>
      <c r="FT32" s="58"/>
      <c r="FU32" s="58"/>
      <c r="FV32" s="58"/>
    </row>
    <row r="33" spans="1:179">
      <c r="A33" s="1059"/>
      <c r="B33" s="224" t="s">
        <v>312</v>
      </c>
      <c r="C33" s="367" t="s">
        <v>313</v>
      </c>
      <c r="D33" s="416">
        <f>1.50375/1000</f>
        <v>1.5037499999999999E-3</v>
      </c>
      <c r="E33" s="236"/>
      <c r="F33" s="417" t="s">
        <v>179</v>
      </c>
      <c r="G33" s="418">
        <v>166.44858374999998</v>
      </c>
      <c r="H33" s="418">
        <v>166.44858374999998</v>
      </c>
      <c r="I33" s="418">
        <v>166.44858374999998</v>
      </c>
      <c r="J33" s="418">
        <v>166.44858374999998</v>
      </c>
      <c r="K33" s="418">
        <v>166.44858374999998</v>
      </c>
      <c r="L33" s="418">
        <v>166.44858374999998</v>
      </c>
      <c r="M33" s="418">
        <v>166.44858374999998</v>
      </c>
      <c r="N33" s="418">
        <v>166.44858374999998</v>
      </c>
      <c r="O33" s="418">
        <v>166.44858374999998</v>
      </c>
      <c r="P33" s="418">
        <v>166.44858374999998</v>
      </c>
      <c r="Q33" s="418">
        <v>166.44858374999998</v>
      </c>
      <c r="R33" s="418">
        <v>166.44858374999998</v>
      </c>
      <c r="S33" s="418">
        <v>166.44858374999998</v>
      </c>
      <c r="T33" s="418">
        <f t="shared" ref="T33:AS33" si="22">T16*$D$33</f>
        <v>172.06007749999998</v>
      </c>
      <c r="U33" s="418">
        <f t="shared" si="22"/>
        <v>172.06007749999998</v>
      </c>
      <c r="V33" s="418">
        <f t="shared" si="22"/>
        <v>172.06007749999998</v>
      </c>
      <c r="W33" s="418">
        <f t="shared" si="22"/>
        <v>172.06007749999998</v>
      </c>
      <c r="X33" s="418">
        <f t="shared" si="22"/>
        <v>172.06007749999998</v>
      </c>
      <c r="Y33" s="418">
        <f t="shared" si="22"/>
        <v>172.06007749999998</v>
      </c>
      <c r="Z33" s="418">
        <f t="shared" si="22"/>
        <v>172.06007749999998</v>
      </c>
      <c r="AA33" s="418">
        <f t="shared" si="22"/>
        <v>172.06007749999998</v>
      </c>
      <c r="AB33" s="418">
        <f t="shared" si="22"/>
        <v>172.06007749999998</v>
      </c>
      <c r="AC33" s="418">
        <f t="shared" si="22"/>
        <v>172.06007749999998</v>
      </c>
      <c r="AD33" s="418">
        <f t="shared" si="22"/>
        <v>172.06007749999998</v>
      </c>
      <c r="AE33" s="418">
        <f t="shared" si="22"/>
        <v>172.06007749999998</v>
      </c>
      <c r="AF33" s="418">
        <f t="shared" si="22"/>
        <v>172.06007749999998</v>
      </c>
      <c r="AG33" s="418">
        <f t="shared" si="22"/>
        <v>172.06007749999998</v>
      </c>
      <c r="AH33" s="418">
        <f t="shared" si="22"/>
        <v>172.06007749999998</v>
      </c>
      <c r="AI33" s="418">
        <f t="shared" si="22"/>
        <v>172.06007749999998</v>
      </c>
      <c r="AJ33" s="418">
        <f t="shared" si="22"/>
        <v>172.06007749999998</v>
      </c>
      <c r="AK33" s="418">
        <f t="shared" si="22"/>
        <v>172.06007749999998</v>
      </c>
      <c r="AL33" s="418">
        <f t="shared" si="22"/>
        <v>172.06007749999998</v>
      </c>
      <c r="AM33" s="418">
        <f t="shared" si="22"/>
        <v>172.06007749999998</v>
      </c>
      <c r="AN33" s="418">
        <f t="shared" si="22"/>
        <v>172.06007749999998</v>
      </c>
      <c r="AO33" s="418">
        <f t="shared" si="22"/>
        <v>172.06007749999998</v>
      </c>
      <c r="AP33" s="418">
        <f t="shared" si="22"/>
        <v>172.06007749999998</v>
      </c>
      <c r="AQ33" s="418">
        <f t="shared" si="22"/>
        <v>172.06007749999998</v>
      </c>
      <c r="AR33" s="418">
        <f t="shared" si="22"/>
        <v>172.06007749999998</v>
      </c>
      <c r="AS33" s="418">
        <f t="shared" si="22"/>
        <v>172.06007749999998</v>
      </c>
      <c r="AT33" s="418">
        <f>AT16*$D$33</f>
        <v>172.06007749999998</v>
      </c>
      <c r="AU33" s="419">
        <f t="shared" ref="AU33:CL33" si="23">AU16*$D$33</f>
        <v>172.06007749999998</v>
      </c>
      <c r="AV33" s="419">
        <f t="shared" si="23"/>
        <v>172.06007749999998</v>
      </c>
      <c r="AW33" s="419">
        <f t="shared" si="23"/>
        <v>172.06007749999998</v>
      </c>
      <c r="AX33" s="419">
        <f t="shared" si="23"/>
        <v>172.06007749999998</v>
      </c>
      <c r="AY33" s="419">
        <f t="shared" si="23"/>
        <v>172.06007749999998</v>
      </c>
      <c r="AZ33" s="419">
        <f t="shared" si="23"/>
        <v>172.06007749999998</v>
      </c>
      <c r="BA33" s="419">
        <f t="shared" si="23"/>
        <v>172.06007749999998</v>
      </c>
      <c r="BB33" s="419">
        <f t="shared" si="23"/>
        <v>172.06007749999998</v>
      </c>
      <c r="BC33" s="419">
        <f t="shared" si="23"/>
        <v>172.06007749999998</v>
      </c>
      <c r="BD33" s="419">
        <f t="shared" si="23"/>
        <v>172.06007749999998</v>
      </c>
      <c r="BE33" s="419">
        <f t="shared" si="23"/>
        <v>172.06007749999998</v>
      </c>
      <c r="BF33" s="419">
        <f t="shared" si="23"/>
        <v>172.06007749999998</v>
      </c>
      <c r="BG33" s="419">
        <f t="shared" si="23"/>
        <v>172.06007749999998</v>
      </c>
      <c r="BH33" s="419">
        <f t="shared" si="23"/>
        <v>172.06007749999998</v>
      </c>
      <c r="BI33" s="419">
        <f t="shared" si="23"/>
        <v>172.06007749999998</v>
      </c>
      <c r="BJ33" s="419">
        <f t="shared" si="23"/>
        <v>172.06007749999998</v>
      </c>
      <c r="BK33" s="419">
        <f t="shared" si="23"/>
        <v>172.06007749999998</v>
      </c>
      <c r="BL33" s="419">
        <f t="shared" si="23"/>
        <v>172.06007749999998</v>
      </c>
      <c r="BM33" s="419">
        <f t="shared" si="23"/>
        <v>172.06007749999998</v>
      </c>
      <c r="BN33" s="419">
        <f t="shared" si="23"/>
        <v>172.06007749999998</v>
      </c>
      <c r="BO33" s="419">
        <f t="shared" si="23"/>
        <v>172.06007749999998</v>
      </c>
      <c r="BP33" s="419">
        <f t="shared" si="23"/>
        <v>172.06007749999998</v>
      </c>
      <c r="BQ33" s="419">
        <f t="shared" si="23"/>
        <v>172.06007749999998</v>
      </c>
      <c r="BR33" s="419">
        <f t="shared" si="23"/>
        <v>172.06007749999998</v>
      </c>
      <c r="BS33" s="419">
        <f t="shared" si="23"/>
        <v>172.06007749999998</v>
      </c>
      <c r="BT33" s="419">
        <f t="shared" si="23"/>
        <v>172.06007749999998</v>
      </c>
      <c r="BU33" s="419">
        <f t="shared" si="23"/>
        <v>172.06007749999998</v>
      </c>
      <c r="BV33" s="419">
        <f t="shared" si="23"/>
        <v>172.06007749999998</v>
      </c>
      <c r="BW33" s="419">
        <f t="shared" si="23"/>
        <v>172.06007749999998</v>
      </c>
      <c r="BX33" s="419">
        <f t="shared" si="23"/>
        <v>172.06007749999998</v>
      </c>
      <c r="BY33" s="419">
        <f t="shared" si="23"/>
        <v>172.06007749999998</v>
      </c>
      <c r="BZ33" s="419">
        <f t="shared" si="23"/>
        <v>172.06007749999998</v>
      </c>
      <c r="CA33" s="419">
        <f t="shared" si="23"/>
        <v>172.06007749999998</v>
      </c>
      <c r="CB33" s="419">
        <f t="shared" si="23"/>
        <v>172.06007749999998</v>
      </c>
      <c r="CC33" s="419">
        <f t="shared" si="23"/>
        <v>172.06007749999998</v>
      </c>
      <c r="CD33" s="419">
        <f t="shared" si="23"/>
        <v>172.06007749999998</v>
      </c>
      <c r="CE33" s="419">
        <f t="shared" si="23"/>
        <v>172.06007749999998</v>
      </c>
      <c r="CF33" s="419">
        <f t="shared" si="23"/>
        <v>172.06007749999998</v>
      </c>
      <c r="CG33" s="419">
        <f t="shared" si="23"/>
        <v>172.06007749999998</v>
      </c>
      <c r="CH33" s="419">
        <f t="shared" si="23"/>
        <v>172.06007749999998</v>
      </c>
      <c r="CI33" s="419">
        <f t="shared" si="23"/>
        <v>172.06007749999998</v>
      </c>
      <c r="CJ33" s="419">
        <f t="shared" si="23"/>
        <v>172.06007749999998</v>
      </c>
      <c r="CK33" s="419">
        <f t="shared" si="23"/>
        <v>172.06007749999998</v>
      </c>
      <c r="CL33" s="420">
        <f t="shared" si="23"/>
        <v>172.06007749999998</v>
      </c>
      <c r="CM33" s="363">
        <f t="shared" si="1"/>
        <v>171.19163203869061</v>
      </c>
      <c r="CN33" s="58"/>
      <c r="CO33" s="421">
        <v>41883</v>
      </c>
      <c r="CP33" s="421">
        <v>41913</v>
      </c>
      <c r="CQ33" s="421">
        <v>41944</v>
      </c>
      <c r="CR33" s="421">
        <v>41974</v>
      </c>
      <c r="CS33" s="421">
        <v>42005</v>
      </c>
      <c r="CT33" s="421">
        <v>42036</v>
      </c>
      <c r="CU33" s="421">
        <v>42064</v>
      </c>
      <c r="CV33" s="421">
        <v>42095</v>
      </c>
      <c r="CW33" s="421">
        <v>42125</v>
      </c>
      <c r="CX33" s="421">
        <v>42156</v>
      </c>
      <c r="CY33" s="421">
        <v>42186</v>
      </c>
      <c r="CZ33" s="421">
        <v>42217</v>
      </c>
      <c r="DA33" s="421">
        <v>42248</v>
      </c>
      <c r="DB33" s="421">
        <v>42278</v>
      </c>
      <c r="DC33" s="421">
        <v>42309</v>
      </c>
      <c r="DD33" s="421">
        <v>42339</v>
      </c>
      <c r="DE33" s="421">
        <v>42370</v>
      </c>
      <c r="DF33" s="421">
        <v>42401</v>
      </c>
      <c r="DG33" s="421">
        <v>42430</v>
      </c>
      <c r="DH33" s="421">
        <v>42461</v>
      </c>
      <c r="DI33" s="421">
        <v>42491</v>
      </c>
      <c r="DJ33" s="421">
        <v>42522</v>
      </c>
      <c r="DK33" s="421">
        <v>42552</v>
      </c>
      <c r="DL33" s="421">
        <v>42583</v>
      </c>
      <c r="DM33" s="421">
        <v>42614</v>
      </c>
      <c r="DN33" s="421">
        <v>42644</v>
      </c>
      <c r="DO33" s="421">
        <v>42675</v>
      </c>
      <c r="DP33" s="421">
        <v>42705</v>
      </c>
      <c r="DQ33" s="421">
        <v>42736</v>
      </c>
      <c r="DR33" s="421">
        <v>42767</v>
      </c>
      <c r="DS33" s="421">
        <v>42795</v>
      </c>
      <c r="DT33" s="421">
        <v>42826</v>
      </c>
      <c r="DU33" s="421">
        <v>42856</v>
      </c>
      <c r="DV33" s="421">
        <v>42887</v>
      </c>
      <c r="DW33" s="421">
        <v>42917</v>
      </c>
      <c r="DX33" s="421">
        <v>42948</v>
      </c>
      <c r="DY33" s="421">
        <v>42979</v>
      </c>
      <c r="DZ33" s="421">
        <v>43009</v>
      </c>
      <c r="EA33" s="421">
        <v>43040</v>
      </c>
      <c r="EB33" s="421">
        <v>43070</v>
      </c>
      <c r="EC33" s="421">
        <v>43101</v>
      </c>
      <c r="ED33" s="421">
        <v>43132</v>
      </c>
      <c r="EE33" s="421">
        <v>43160</v>
      </c>
      <c r="EF33" s="421">
        <v>43191</v>
      </c>
      <c r="EG33" s="421">
        <v>43221</v>
      </c>
      <c r="EH33" s="421">
        <v>43252</v>
      </c>
      <c r="EI33" s="421">
        <v>43282</v>
      </c>
      <c r="EJ33" s="421">
        <v>43313</v>
      </c>
      <c r="EK33" s="421">
        <v>43344</v>
      </c>
      <c r="EL33" s="421">
        <v>43374</v>
      </c>
      <c r="EM33" s="421">
        <v>43405</v>
      </c>
      <c r="EN33" s="421">
        <v>43435</v>
      </c>
      <c r="EO33" s="421">
        <v>43466</v>
      </c>
      <c r="EP33" s="421">
        <v>43497</v>
      </c>
      <c r="EQ33" s="421">
        <v>43525</v>
      </c>
      <c r="ER33" s="421">
        <v>43556</v>
      </c>
      <c r="ES33" s="421">
        <v>43586</v>
      </c>
      <c r="ET33" s="421">
        <v>43617</v>
      </c>
      <c r="EU33" s="421">
        <v>43647</v>
      </c>
      <c r="EV33" s="421">
        <v>43678</v>
      </c>
      <c r="EW33" s="421">
        <v>43709</v>
      </c>
      <c r="EX33" s="421">
        <v>43739</v>
      </c>
      <c r="EY33" s="421">
        <v>43770</v>
      </c>
      <c r="EZ33" s="421">
        <v>43800</v>
      </c>
      <c r="FA33" s="421">
        <v>43831</v>
      </c>
      <c r="FB33" s="421">
        <v>43862</v>
      </c>
      <c r="FC33" s="421">
        <v>43891</v>
      </c>
      <c r="FD33" s="421">
        <v>43922</v>
      </c>
      <c r="FE33" s="421">
        <v>43952</v>
      </c>
      <c r="FF33" s="421">
        <v>43983</v>
      </c>
      <c r="FG33" s="421">
        <v>44013</v>
      </c>
      <c r="FH33" s="421">
        <v>44044</v>
      </c>
      <c r="FI33" s="421">
        <v>44075</v>
      </c>
      <c r="FJ33" s="421">
        <v>44105</v>
      </c>
      <c r="FK33" s="421">
        <v>44136</v>
      </c>
      <c r="FL33" s="421">
        <v>44166</v>
      </c>
      <c r="FM33" s="421">
        <v>44197</v>
      </c>
      <c r="FN33" s="421">
        <v>44228</v>
      </c>
      <c r="FO33" s="421">
        <v>44256</v>
      </c>
      <c r="FP33" s="421">
        <v>44287</v>
      </c>
      <c r="FQ33" s="421">
        <v>44317</v>
      </c>
      <c r="FR33" s="421">
        <v>44348</v>
      </c>
      <c r="FS33" s="421">
        <v>44378</v>
      </c>
      <c r="FT33" s="421">
        <v>44409</v>
      </c>
      <c r="FU33" s="421">
        <v>44440</v>
      </c>
      <c r="FV33" s="371"/>
    </row>
    <row r="34" spans="1:179" ht="15" customHeight="1">
      <c r="A34" s="1073" t="s">
        <v>106</v>
      </c>
      <c r="B34" s="398" t="s">
        <v>307</v>
      </c>
      <c r="C34" s="399" t="s">
        <v>313</v>
      </c>
      <c r="D34" s="399">
        <v>1.61</v>
      </c>
      <c r="E34" s="1066" t="s">
        <v>316</v>
      </c>
      <c r="F34" s="422" t="s">
        <v>142</v>
      </c>
      <c r="G34" s="423">
        <f t="shared" ref="G34:R34" si="24">$D$34*G16</f>
        <v>184217.27333333332</v>
      </c>
      <c r="H34" s="423">
        <f t="shared" si="24"/>
        <v>184217.27333333332</v>
      </c>
      <c r="I34" s="423">
        <f t="shared" si="24"/>
        <v>184217.27333333332</v>
      </c>
      <c r="J34" s="423">
        <f t="shared" si="24"/>
        <v>184217.27333333332</v>
      </c>
      <c r="K34" s="423">
        <f t="shared" si="24"/>
        <v>184217.27333333332</v>
      </c>
      <c r="L34" s="423">
        <f t="shared" si="24"/>
        <v>184217.27333333332</v>
      </c>
      <c r="M34" s="423">
        <f t="shared" si="24"/>
        <v>184217.27333333332</v>
      </c>
      <c r="N34" s="423">
        <f t="shared" si="24"/>
        <v>184217.27333333332</v>
      </c>
      <c r="O34" s="423">
        <f t="shared" si="24"/>
        <v>184217.27333333332</v>
      </c>
      <c r="P34" s="423">
        <f t="shared" si="24"/>
        <v>184217.27333333332</v>
      </c>
      <c r="Q34" s="423">
        <f t="shared" si="24"/>
        <v>184217.27333333332</v>
      </c>
      <c r="R34" s="423">
        <f t="shared" si="24"/>
        <v>184217.27333333332</v>
      </c>
      <c r="S34" s="423">
        <f>$D$34*S16</f>
        <v>184217.27333333332</v>
      </c>
      <c r="T34" s="423">
        <f t="shared" ref="T34:CE34" si="25">$D$34*T16</f>
        <v>184217.27333333332</v>
      </c>
      <c r="U34" s="423">
        <f t="shared" si="25"/>
        <v>184217.27333333332</v>
      </c>
      <c r="V34" s="423">
        <f t="shared" si="25"/>
        <v>184217.27333333332</v>
      </c>
      <c r="W34" s="423">
        <f t="shared" si="25"/>
        <v>184217.27333333332</v>
      </c>
      <c r="X34" s="423">
        <f t="shared" si="25"/>
        <v>184217.27333333332</v>
      </c>
      <c r="Y34" s="423">
        <f t="shared" si="25"/>
        <v>184217.27333333332</v>
      </c>
      <c r="Z34" s="423">
        <f t="shared" si="25"/>
        <v>184217.27333333332</v>
      </c>
      <c r="AA34" s="423">
        <f t="shared" si="25"/>
        <v>184217.27333333332</v>
      </c>
      <c r="AB34" s="423">
        <f t="shared" si="25"/>
        <v>184217.27333333332</v>
      </c>
      <c r="AC34" s="423">
        <f t="shared" si="25"/>
        <v>184217.27333333332</v>
      </c>
      <c r="AD34" s="423">
        <f t="shared" si="25"/>
        <v>184217.27333333332</v>
      </c>
      <c r="AE34" s="423">
        <f t="shared" si="25"/>
        <v>184217.27333333332</v>
      </c>
      <c r="AF34" s="423">
        <f t="shared" si="25"/>
        <v>184217.27333333332</v>
      </c>
      <c r="AG34" s="423">
        <f t="shared" si="25"/>
        <v>184217.27333333332</v>
      </c>
      <c r="AH34" s="423">
        <f t="shared" si="25"/>
        <v>184217.27333333332</v>
      </c>
      <c r="AI34" s="423">
        <f t="shared" si="25"/>
        <v>184217.27333333332</v>
      </c>
      <c r="AJ34" s="423">
        <f t="shared" si="25"/>
        <v>184217.27333333332</v>
      </c>
      <c r="AK34" s="423">
        <f t="shared" si="25"/>
        <v>184217.27333333332</v>
      </c>
      <c r="AL34" s="423">
        <f t="shared" si="25"/>
        <v>184217.27333333332</v>
      </c>
      <c r="AM34" s="423">
        <f t="shared" si="25"/>
        <v>184217.27333333332</v>
      </c>
      <c r="AN34" s="423">
        <f t="shared" si="25"/>
        <v>184217.27333333332</v>
      </c>
      <c r="AO34" s="423">
        <f t="shared" si="25"/>
        <v>184217.27333333332</v>
      </c>
      <c r="AP34" s="423">
        <f t="shared" si="25"/>
        <v>184217.27333333332</v>
      </c>
      <c r="AQ34" s="423">
        <f t="shared" si="25"/>
        <v>184217.27333333332</v>
      </c>
      <c r="AR34" s="423">
        <f t="shared" si="25"/>
        <v>184217.27333333332</v>
      </c>
      <c r="AS34" s="423">
        <f t="shared" si="25"/>
        <v>184217.27333333332</v>
      </c>
      <c r="AT34" s="423">
        <f t="shared" si="25"/>
        <v>184217.27333333332</v>
      </c>
      <c r="AU34" s="424">
        <f t="shared" si="25"/>
        <v>184217.27333333332</v>
      </c>
      <c r="AV34" s="424">
        <f t="shared" si="25"/>
        <v>184217.27333333332</v>
      </c>
      <c r="AW34" s="424">
        <f t="shared" si="25"/>
        <v>184217.27333333332</v>
      </c>
      <c r="AX34" s="424">
        <f t="shared" si="25"/>
        <v>184217.27333333332</v>
      </c>
      <c r="AY34" s="424">
        <f t="shared" si="25"/>
        <v>184217.27333333332</v>
      </c>
      <c r="AZ34" s="424">
        <f t="shared" si="25"/>
        <v>184217.27333333332</v>
      </c>
      <c r="BA34" s="424">
        <f t="shared" si="25"/>
        <v>184217.27333333332</v>
      </c>
      <c r="BB34" s="424">
        <f t="shared" si="25"/>
        <v>184217.27333333332</v>
      </c>
      <c r="BC34" s="424">
        <f t="shared" si="25"/>
        <v>184217.27333333332</v>
      </c>
      <c r="BD34" s="424">
        <f t="shared" si="25"/>
        <v>184217.27333333332</v>
      </c>
      <c r="BE34" s="424">
        <f t="shared" si="25"/>
        <v>184217.27333333332</v>
      </c>
      <c r="BF34" s="424">
        <f t="shared" si="25"/>
        <v>184217.27333333332</v>
      </c>
      <c r="BG34" s="424">
        <f t="shared" si="25"/>
        <v>184217.27333333332</v>
      </c>
      <c r="BH34" s="424">
        <f t="shared" si="25"/>
        <v>184217.27333333332</v>
      </c>
      <c r="BI34" s="424">
        <f t="shared" si="25"/>
        <v>184217.27333333332</v>
      </c>
      <c r="BJ34" s="424">
        <f t="shared" si="25"/>
        <v>184217.27333333332</v>
      </c>
      <c r="BK34" s="424">
        <f t="shared" si="25"/>
        <v>184217.27333333332</v>
      </c>
      <c r="BL34" s="424">
        <f t="shared" si="25"/>
        <v>184217.27333333332</v>
      </c>
      <c r="BM34" s="424">
        <f t="shared" si="25"/>
        <v>184217.27333333332</v>
      </c>
      <c r="BN34" s="424">
        <f t="shared" si="25"/>
        <v>184217.27333333332</v>
      </c>
      <c r="BO34" s="424">
        <f t="shared" si="25"/>
        <v>184217.27333333332</v>
      </c>
      <c r="BP34" s="424">
        <f t="shared" si="25"/>
        <v>184217.27333333332</v>
      </c>
      <c r="BQ34" s="424">
        <f t="shared" si="25"/>
        <v>184217.27333333332</v>
      </c>
      <c r="BR34" s="424">
        <f t="shared" si="25"/>
        <v>184217.27333333332</v>
      </c>
      <c r="BS34" s="424">
        <f t="shared" si="25"/>
        <v>184217.27333333332</v>
      </c>
      <c r="BT34" s="424">
        <f t="shared" si="25"/>
        <v>184217.27333333332</v>
      </c>
      <c r="BU34" s="424">
        <f t="shared" si="25"/>
        <v>184217.27333333332</v>
      </c>
      <c r="BV34" s="424">
        <f t="shared" si="25"/>
        <v>184217.27333333332</v>
      </c>
      <c r="BW34" s="424">
        <f t="shared" si="25"/>
        <v>184217.27333333332</v>
      </c>
      <c r="BX34" s="424">
        <f t="shared" si="25"/>
        <v>184217.27333333332</v>
      </c>
      <c r="BY34" s="424">
        <f t="shared" si="25"/>
        <v>184217.27333333332</v>
      </c>
      <c r="BZ34" s="424">
        <f t="shared" si="25"/>
        <v>184217.27333333332</v>
      </c>
      <c r="CA34" s="424">
        <f t="shared" si="25"/>
        <v>184217.27333333332</v>
      </c>
      <c r="CB34" s="424">
        <f t="shared" si="25"/>
        <v>184217.27333333332</v>
      </c>
      <c r="CC34" s="424">
        <f t="shared" si="25"/>
        <v>184217.27333333332</v>
      </c>
      <c r="CD34" s="424">
        <f t="shared" si="25"/>
        <v>184217.27333333332</v>
      </c>
      <c r="CE34" s="424">
        <f t="shared" si="25"/>
        <v>184217.27333333332</v>
      </c>
      <c r="CF34" s="424">
        <f t="shared" ref="CF34:CL34" si="26">$D$34*CF16</f>
        <v>184217.27333333332</v>
      </c>
      <c r="CG34" s="424">
        <f t="shared" si="26"/>
        <v>184217.27333333332</v>
      </c>
      <c r="CH34" s="424">
        <f t="shared" si="26"/>
        <v>184217.27333333332</v>
      </c>
      <c r="CI34" s="424">
        <f t="shared" si="26"/>
        <v>184217.27333333332</v>
      </c>
      <c r="CJ34" s="424">
        <f t="shared" si="26"/>
        <v>184217.27333333332</v>
      </c>
      <c r="CK34" s="424">
        <f t="shared" si="26"/>
        <v>184217.27333333332</v>
      </c>
      <c r="CL34" s="422">
        <f t="shared" si="26"/>
        <v>184217.27333333332</v>
      </c>
      <c r="CM34" s="425">
        <f t="shared" ref="CM34:CM74" si="27">AVERAGE(G34:CL34)</f>
        <v>184217.2733333334</v>
      </c>
      <c r="CN34" s="426" t="s">
        <v>319</v>
      </c>
      <c r="CO34" s="427">
        <v>6.12</v>
      </c>
      <c r="CP34" s="427">
        <v>6.12</v>
      </c>
      <c r="CQ34" s="427">
        <v>6.12</v>
      </c>
      <c r="CR34" s="427">
        <v>6.12</v>
      </c>
      <c r="CS34" s="427">
        <v>6.24</v>
      </c>
      <c r="CT34" s="427">
        <v>6.24</v>
      </c>
      <c r="CU34" s="427">
        <v>6.28</v>
      </c>
      <c r="CV34" s="427">
        <v>6.28</v>
      </c>
      <c r="CW34" s="427">
        <v>6.32</v>
      </c>
      <c r="CX34" s="427">
        <v>6.32</v>
      </c>
      <c r="CY34" s="427">
        <v>6.47</v>
      </c>
      <c r="CZ34" s="427">
        <v>6.47</v>
      </c>
      <c r="DA34" s="427">
        <v>6.47</v>
      </c>
      <c r="DB34" s="427">
        <v>6.51</v>
      </c>
      <c r="DC34" s="427">
        <v>6.6447253073219397</v>
      </c>
      <c r="DD34" s="427">
        <v>6.6592391374311397</v>
      </c>
      <c r="DE34" s="427">
        <v>6.6737529675403398</v>
      </c>
      <c r="DF34" s="427">
        <v>6.6882667976495496</v>
      </c>
      <c r="DG34" s="427">
        <v>6.7027806277587496</v>
      </c>
      <c r="DH34" s="427">
        <v>6.7172944578679497</v>
      </c>
      <c r="DI34" s="427">
        <v>6.7318082879771604</v>
      </c>
      <c r="DJ34" s="427">
        <v>6.7463221180863604</v>
      </c>
      <c r="DK34" s="427">
        <v>6.7608359481955604</v>
      </c>
      <c r="DL34" s="427">
        <v>6.7753497783047703</v>
      </c>
      <c r="DM34" s="427">
        <v>6.7898636084139703</v>
      </c>
      <c r="DN34" s="427">
        <v>6.91</v>
      </c>
      <c r="DO34" s="427">
        <v>6.8188912686323802</v>
      </c>
      <c r="DP34" s="427">
        <v>6.86</v>
      </c>
      <c r="DQ34" s="427">
        <v>6.8479189288507802</v>
      </c>
      <c r="DR34" s="427">
        <v>6.8624327589599803</v>
      </c>
      <c r="DS34" s="427">
        <v>6.8769465890691901</v>
      </c>
      <c r="DT34" s="427">
        <v>6.8914604191783901</v>
      </c>
      <c r="DU34" s="427">
        <v>6.9059742492875902</v>
      </c>
      <c r="DV34" s="427">
        <v>6.9204880793968</v>
      </c>
      <c r="DW34" s="427">
        <v>6.935001909506</v>
      </c>
      <c r="DX34" s="427">
        <v>6.9495157396152001</v>
      </c>
      <c r="DY34" s="427">
        <v>6.9640295697244099</v>
      </c>
      <c r="DZ34" s="427">
        <v>6.9785433998336099</v>
      </c>
      <c r="EA34" s="427">
        <v>6.99305722994281</v>
      </c>
      <c r="EB34" s="427">
        <v>7.0075710600520198</v>
      </c>
      <c r="EC34" s="427">
        <v>5.2450000000000001</v>
      </c>
      <c r="ED34" s="427">
        <v>7.48</v>
      </c>
      <c r="EE34" s="427">
        <v>7.6002255138846202</v>
      </c>
      <c r="EF34" s="427">
        <v>6.65</v>
      </c>
      <c r="EG34" s="427">
        <v>6.77</v>
      </c>
      <c r="EH34" s="427">
        <v>6.83</v>
      </c>
      <c r="EI34" s="427">
        <v>8.23</v>
      </c>
      <c r="EJ34" s="427">
        <v>8.2200000000000006</v>
      </c>
      <c r="EK34" s="427">
        <v>7.32</v>
      </c>
      <c r="EL34" s="427">
        <v>8.18</v>
      </c>
      <c r="EM34" s="427">
        <v>7.53</v>
      </c>
      <c r="EN34" s="427">
        <v>7.13</v>
      </c>
      <c r="EO34" s="427">
        <v>6.42</v>
      </c>
      <c r="EP34" s="427">
        <v>7.18</v>
      </c>
      <c r="EQ34" s="427">
        <v>6.07</v>
      </c>
      <c r="ER34" s="427">
        <v>4.8415999999999997</v>
      </c>
      <c r="ES34" s="427">
        <v>4.8899999999999997</v>
      </c>
      <c r="ET34" s="427">
        <v>5.4</v>
      </c>
      <c r="EU34" s="427">
        <v>5.84</v>
      </c>
      <c r="EV34" s="427">
        <v>5.76</v>
      </c>
      <c r="EW34" s="427">
        <v>5.46</v>
      </c>
      <c r="EX34" s="427">
        <v>6.36</v>
      </c>
      <c r="EY34" s="427">
        <v>6.17</v>
      </c>
      <c r="EZ34" s="427">
        <v>6.84</v>
      </c>
      <c r="FA34" s="427">
        <v>5.67</v>
      </c>
      <c r="FB34" s="427">
        <v>5.33</v>
      </c>
      <c r="FC34" s="427">
        <v>3.69</v>
      </c>
      <c r="FD34" s="427">
        <v>4.9800000000000004</v>
      </c>
      <c r="FE34" s="427">
        <v>4.4800000000000004</v>
      </c>
      <c r="FF34" s="427">
        <v>3</v>
      </c>
      <c r="FG34" s="427">
        <v>2.6</v>
      </c>
      <c r="FH34" s="427">
        <v>3.43</v>
      </c>
      <c r="FI34" s="427">
        <v>4.3499999999999996</v>
      </c>
      <c r="FJ34" s="427">
        <v>4.68</v>
      </c>
      <c r="FK34" s="427">
        <v>5.0999999999999996</v>
      </c>
      <c r="FL34" s="427">
        <v>6.03</v>
      </c>
      <c r="FM34" s="427">
        <v>6.67</v>
      </c>
      <c r="FN34" s="427">
        <v>8.02</v>
      </c>
      <c r="FO34" s="427">
        <v>7.23</v>
      </c>
      <c r="FP34" s="427">
        <v>5.36</v>
      </c>
      <c r="FQ34" s="427">
        <v>5.15</v>
      </c>
      <c r="FR34" s="427">
        <v>5.64</v>
      </c>
      <c r="FS34" s="427">
        <v>6.42</v>
      </c>
      <c r="FT34" s="427">
        <v>7.17</v>
      </c>
      <c r="FU34" s="427">
        <v>7.47</v>
      </c>
      <c r="FV34" s="428">
        <f t="shared" ref="FV34:FV41" si="28">AVERAGE(EC34:FU34)</f>
        <v>6.0197072336418813</v>
      </c>
      <c r="FW34" s="312"/>
    </row>
    <row r="35" spans="1:179">
      <c r="A35" s="1074"/>
      <c r="B35" s="398" t="s">
        <v>307</v>
      </c>
      <c r="C35" s="399" t="s">
        <v>313</v>
      </c>
      <c r="D35" s="399">
        <v>514.32000000000005</v>
      </c>
      <c r="E35" s="1066"/>
      <c r="F35" s="422" t="s">
        <v>133</v>
      </c>
      <c r="G35" s="423">
        <f t="shared" ref="G35:BR35" si="29">$D$35*G16</f>
        <v>58848837.280000001</v>
      </c>
      <c r="H35" s="423">
        <f t="shared" si="29"/>
        <v>58848837.280000001</v>
      </c>
      <c r="I35" s="423">
        <f t="shared" si="29"/>
        <v>58848837.280000001</v>
      </c>
      <c r="J35" s="423">
        <f t="shared" si="29"/>
        <v>58848837.280000001</v>
      </c>
      <c r="K35" s="423">
        <f t="shared" si="29"/>
        <v>58848837.280000001</v>
      </c>
      <c r="L35" s="423">
        <f t="shared" si="29"/>
        <v>58848837.280000001</v>
      </c>
      <c r="M35" s="423">
        <f t="shared" si="29"/>
        <v>58848837.280000001</v>
      </c>
      <c r="N35" s="423">
        <f t="shared" si="29"/>
        <v>58848837.280000001</v>
      </c>
      <c r="O35" s="423">
        <f t="shared" si="29"/>
        <v>58848837.280000001</v>
      </c>
      <c r="P35" s="423">
        <f t="shared" si="29"/>
        <v>58848837.280000001</v>
      </c>
      <c r="Q35" s="423">
        <f t="shared" si="29"/>
        <v>58848837.280000001</v>
      </c>
      <c r="R35" s="423">
        <f t="shared" si="29"/>
        <v>58848837.280000001</v>
      </c>
      <c r="S35" s="423">
        <f t="shared" si="29"/>
        <v>58848837.280000001</v>
      </c>
      <c r="T35" s="423">
        <f t="shared" si="29"/>
        <v>58848837.280000001</v>
      </c>
      <c r="U35" s="423">
        <f t="shared" si="29"/>
        <v>58848837.280000001</v>
      </c>
      <c r="V35" s="423">
        <f t="shared" si="29"/>
        <v>58848837.280000001</v>
      </c>
      <c r="W35" s="423">
        <f t="shared" si="29"/>
        <v>58848837.280000001</v>
      </c>
      <c r="X35" s="423">
        <f t="shared" si="29"/>
        <v>58848837.280000001</v>
      </c>
      <c r="Y35" s="423">
        <f t="shared" si="29"/>
        <v>58848837.280000001</v>
      </c>
      <c r="Z35" s="423">
        <f t="shared" si="29"/>
        <v>58848837.280000001</v>
      </c>
      <c r="AA35" s="423">
        <f t="shared" si="29"/>
        <v>58848837.280000001</v>
      </c>
      <c r="AB35" s="423">
        <f t="shared" si="29"/>
        <v>58848837.280000001</v>
      </c>
      <c r="AC35" s="423">
        <f t="shared" si="29"/>
        <v>58848837.280000001</v>
      </c>
      <c r="AD35" s="423">
        <f t="shared" si="29"/>
        <v>58848837.280000001</v>
      </c>
      <c r="AE35" s="423">
        <f t="shared" si="29"/>
        <v>58848837.280000001</v>
      </c>
      <c r="AF35" s="423">
        <f t="shared" si="29"/>
        <v>58848837.280000001</v>
      </c>
      <c r="AG35" s="423">
        <f t="shared" si="29"/>
        <v>58848837.280000001</v>
      </c>
      <c r="AH35" s="423">
        <f t="shared" si="29"/>
        <v>58848837.280000001</v>
      </c>
      <c r="AI35" s="423">
        <f t="shared" si="29"/>
        <v>58848837.280000001</v>
      </c>
      <c r="AJ35" s="423">
        <f t="shared" si="29"/>
        <v>58848837.280000001</v>
      </c>
      <c r="AK35" s="423">
        <f t="shared" si="29"/>
        <v>58848837.280000001</v>
      </c>
      <c r="AL35" s="423">
        <f t="shared" si="29"/>
        <v>58848837.280000001</v>
      </c>
      <c r="AM35" s="423">
        <f t="shared" si="29"/>
        <v>58848837.280000001</v>
      </c>
      <c r="AN35" s="423">
        <f t="shared" si="29"/>
        <v>58848837.280000001</v>
      </c>
      <c r="AO35" s="423">
        <f t="shared" si="29"/>
        <v>58848837.280000001</v>
      </c>
      <c r="AP35" s="423">
        <f t="shared" si="29"/>
        <v>58848837.280000001</v>
      </c>
      <c r="AQ35" s="423">
        <f t="shared" si="29"/>
        <v>58848837.280000001</v>
      </c>
      <c r="AR35" s="423">
        <f t="shared" si="29"/>
        <v>58848837.280000001</v>
      </c>
      <c r="AS35" s="423">
        <f t="shared" si="29"/>
        <v>58848837.280000001</v>
      </c>
      <c r="AT35" s="423">
        <f t="shared" si="29"/>
        <v>58848837.280000001</v>
      </c>
      <c r="AU35" s="424">
        <f t="shared" si="29"/>
        <v>58848837.280000001</v>
      </c>
      <c r="AV35" s="424">
        <f t="shared" si="29"/>
        <v>58848837.280000001</v>
      </c>
      <c r="AW35" s="424">
        <f t="shared" si="29"/>
        <v>58848837.280000001</v>
      </c>
      <c r="AX35" s="424">
        <f t="shared" si="29"/>
        <v>58848837.280000001</v>
      </c>
      <c r="AY35" s="424">
        <f t="shared" si="29"/>
        <v>58848837.280000001</v>
      </c>
      <c r="AZ35" s="424">
        <f t="shared" si="29"/>
        <v>58848837.280000001</v>
      </c>
      <c r="BA35" s="424">
        <f t="shared" si="29"/>
        <v>58848837.280000001</v>
      </c>
      <c r="BB35" s="424">
        <f t="shared" si="29"/>
        <v>58848837.280000001</v>
      </c>
      <c r="BC35" s="424">
        <f t="shared" si="29"/>
        <v>58848837.280000001</v>
      </c>
      <c r="BD35" s="424">
        <f t="shared" si="29"/>
        <v>58848837.280000001</v>
      </c>
      <c r="BE35" s="424">
        <f t="shared" si="29"/>
        <v>58848837.280000001</v>
      </c>
      <c r="BF35" s="424">
        <f t="shared" si="29"/>
        <v>58848837.280000001</v>
      </c>
      <c r="BG35" s="424">
        <f t="shared" si="29"/>
        <v>58848837.280000001</v>
      </c>
      <c r="BH35" s="424">
        <f t="shared" si="29"/>
        <v>58848837.280000001</v>
      </c>
      <c r="BI35" s="424">
        <f t="shared" si="29"/>
        <v>58848837.280000001</v>
      </c>
      <c r="BJ35" s="424">
        <f t="shared" si="29"/>
        <v>58848837.280000001</v>
      </c>
      <c r="BK35" s="424">
        <f t="shared" si="29"/>
        <v>58848837.280000001</v>
      </c>
      <c r="BL35" s="424">
        <f t="shared" si="29"/>
        <v>58848837.280000001</v>
      </c>
      <c r="BM35" s="424">
        <f t="shared" si="29"/>
        <v>58848837.280000001</v>
      </c>
      <c r="BN35" s="424">
        <f t="shared" si="29"/>
        <v>58848837.280000001</v>
      </c>
      <c r="BO35" s="424">
        <f t="shared" si="29"/>
        <v>58848837.280000001</v>
      </c>
      <c r="BP35" s="424">
        <f t="shared" si="29"/>
        <v>58848837.280000001</v>
      </c>
      <c r="BQ35" s="424">
        <f t="shared" si="29"/>
        <v>58848837.280000001</v>
      </c>
      <c r="BR35" s="424">
        <f t="shared" si="29"/>
        <v>58848837.280000001</v>
      </c>
      <c r="BS35" s="424">
        <f t="shared" ref="BS35:CL35" si="30">$D$35*BS16</f>
        <v>58848837.280000001</v>
      </c>
      <c r="BT35" s="424">
        <f t="shared" si="30"/>
        <v>58848837.280000001</v>
      </c>
      <c r="BU35" s="424">
        <f t="shared" si="30"/>
        <v>58848837.280000001</v>
      </c>
      <c r="BV35" s="424">
        <f t="shared" si="30"/>
        <v>58848837.280000001</v>
      </c>
      <c r="BW35" s="424">
        <f t="shared" si="30"/>
        <v>58848837.280000001</v>
      </c>
      <c r="BX35" s="424">
        <f t="shared" si="30"/>
        <v>58848837.280000001</v>
      </c>
      <c r="BY35" s="424">
        <f t="shared" si="30"/>
        <v>58848837.280000001</v>
      </c>
      <c r="BZ35" s="424">
        <f t="shared" si="30"/>
        <v>58848837.280000001</v>
      </c>
      <c r="CA35" s="424">
        <f t="shared" si="30"/>
        <v>58848837.280000001</v>
      </c>
      <c r="CB35" s="424">
        <f t="shared" si="30"/>
        <v>58848837.280000001</v>
      </c>
      <c r="CC35" s="424">
        <f t="shared" si="30"/>
        <v>58848837.280000001</v>
      </c>
      <c r="CD35" s="424">
        <f t="shared" si="30"/>
        <v>58848837.280000001</v>
      </c>
      <c r="CE35" s="424">
        <f t="shared" si="30"/>
        <v>58848837.280000001</v>
      </c>
      <c r="CF35" s="424">
        <f t="shared" si="30"/>
        <v>58848837.280000001</v>
      </c>
      <c r="CG35" s="424">
        <f t="shared" si="30"/>
        <v>58848837.280000001</v>
      </c>
      <c r="CH35" s="424">
        <f t="shared" si="30"/>
        <v>58848837.280000001</v>
      </c>
      <c r="CI35" s="424">
        <f t="shared" si="30"/>
        <v>58848837.280000001</v>
      </c>
      <c r="CJ35" s="424">
        <f t="shared" si="30"/>
        <v>58848837.280000001</v>
      </c>
      <c r="CK35" s="424">
        <f t="shared" si="30"/>
        <v>58848837.280000001</v>
      </c>
      <c r="CL35" s="422">
        <f t="shared" si="30"/>
        <v>58848837.280000001</v>
      </c>
      <c r="CM35" s="397">
        <f t="shared" si="27"/>
        <v>58848837.280000038</v>
      </c>
      <c r="CN35" s="429" t="s">
        <v>320</v>
      </c>
      <c r="CO35" s="430">
        <v>2198.1265252613698</v>
      </c>
      <c r="CP35" s="430">
        <v>2198.1265252613698</v>
      </c>
      <c r="CQ35" s="430">
        <v>2198.1265252613698</v>
      </c>
      <c r="CR35" s="430">
        <v>2198.1265252613698</v>
      </c>
      <c r="CS35" s="430">
        <v>2198.1265252613698</v>
      </c>
      <c r="CT35" s="430">
        <v>2198.1265252613698</v>
      </c>
      <c r="CU35" s="430">
        <v>2198.1265252613698</v>
      </c>
      <c r="CV35" s="430">
        <v>2198.1265252613698</v>
      </c>
      <c r="CW35" s="430">
        <v>2204.6719970040999</v>
      </c>
      <c r="CX35" s="430">
        <v>2198.1265252613698</v>
      </c>
      <c r="CY35" s="430">
        <v>2204.6719970040999</v>
      </c>
      <c r="CZ35" s="430">
        <v>2211.21746874684</v>
      </c>
      <c r="DA35" s="430">
        <v>2217.7629404895802</v>
      </c>
      <c r="DB35" s="430">
        <v>2224.3084122323098</v>
      </c>
      <c r="DC35" s="430">
        <v>2230.8538839750499</v>
      </c>
      <c r="DD35" s="430">
        <v>2237.3993557177901</v>
      </c>
      <c r="DE35" s="430">
        <v>2243.9448274605202</v>
      </c>
      <c r="DF35" s="430">
        <v>2250.4902992032598</v>
      </c>
      <c r="DG35" s="430">
        <v>2257.03577094599</v>
      </c>
      <c r="DH35" s="430">
        <v>2263.5812426887301</v>
      </c>
      <c r="DI35" s="430">
        <v>2270.1267144314702</v>
      </c>
      <c r="DJ35" s="430">
        <v>2276.6721861741999</v>
      </c>
      <c r="DK35" s="430">
        <v>2283.21765791694</v>
      </c>
      <c r="DL35" s="430">
        <v>2289.7631296596801</v>
      </c>
      <c r="DM35" s="430">
        <v>2296.3086014024102</v>
      </c>
      <c r="DN35" s="430">
        <v>2302.8540731451499</v>
      </c>
      <c r="DO35" s="430">
        <v>2309.39954488788</v>
      </c>
      <c r="DP35" s="430">
        <v>2315.9450166306201</v>
      </c>
      <c r="DQ35" s="430">
        <v>2322.4904883733602</v>
      </c>
      <c r="DR35" s="430">
        <v>2329.0359601160899</v>
      </c>
      <c r="DS35" s="430">
        <v>2335.58143185883</v>
      </c>
      <c r="DT35" s="430">
        <v>2342.1269036015701</v>
      </c>
      <c r="DU35" s="430">
        <v>2348.6723753442998</v>
      </c>
      <c r="DV35" s="430">
        <v>2355.2178470870399</v>
      </c>
      <c r="DW35" s="430">
        <v>2361.76331882977</v>
      </c>
      <c r="DX35" s="430">
        <v>2368.3087905725101</v>
      </c>
      <c r="DY35" s="430">
        <v>2374.8542623152498</v>
      </c>
      <c r="DZ35" s="430">
        <v>2381.3997340579799</v>
      </c>
      <c r="EA35" s="430">
        <v>2387.94520580072</v>
      </c>
      <c r="EB35" s="430">
        <v>2394.4906775434602</v>
      </c>
      <c r="EC35" s="430">
        <v>1659</v>
      </c>
      <c r="ED35" s="430">
        <v>2237</v>
      </c>
      <c r="EE35" s="430">
        <v>2255.1410444563789</v>
      </c>
      <c r="EF35" s="430">
        <v>2146.2487431145209</v>
      </c>
      <c r="EG35" s="430">
        <v>2418.3910474276554</v>
      </c>
      <c r="EH35" s="430">
        <v>2701.6199743644243</v>
      </c>
      <c r="EI35" s="430">
        <v>2777.0407045596344</v>
      </c>
      <c r="EJ35" s="430">
        <v>2836.6205896021006</v>
      </c>
      <c r="EK35" s="430">
        <v>2780.2581602607625</v>
      </c>
      <c r="EL35" s="430">
        <v>3053.926570501239</v>
      </c>
      <c r="EM35" s="430">
        <v>2836.1664048306907</v>
      </c>
      <c r="EN35" s="430">
        <v>2611.932049598453</v>
      </c>
      <c r="EO35" s="430">
        <v>2577.919484614094</v>
      </c>
      <c r="EP35" s="430">
        <v>2856.2006891112787</v>
      </c>
      <c r="EQ35" s="430">
        <v>2469.3423214225581</v>
      </c>
      <c r="ER35" s="430">
        <v>2091.94</v>
      </c>
      <c r="ES35" s="430">
        <v>2025.12</v>
      </c>
      <c r="ET35" s="430">
        <v>2197.69</v>
      </c>
      <c r="EU35" s="430">
        <v>2450.21</v>
      </c>
      <c r="EV35" s="430">
        <v>2188.85</v>
      </c>
      <c r="EW35" s="430">
        <v>2098.58</v>
      </c>
      <c r="EX35" s="430">
        <v>2650.93</v>
      </c>
      <c r="EY35" s="430">
        <v>2588.92</v>
      </c>
      <c r="EZ35" s="430">
        <v>2922.37</v>
      </c>
      <c r="FA35" s="430">
        <v>2398.6999999999998</v>
      </c>
      <c r="FB35" s="430">
        <v>2269.4</v>
      </c>
      <c r="FC35" s="430">
        <v>1425.69</v>
      </c>
      <c r="FD35" s="430">
        <v>1908.42</v>
      </c>
      <c r="FE35" s="430">
        <v>1785.56</v>
      </c>
      <c r="FF35" s="430">
        <v>1111.8399999999999</v>
      </c>
      <c r="FG35" s="430">
        <v>1033.04</v>
      </c>
      <c r="FH35" s="430">
        <v>1321.01</v>
      </c>
      <c r="FI35" s="430">
        <v>1668.98</v>
      </c>
      <c r="FJ35" s="430">
        <v>1783.8</v>
      </c>
      <c r="FK35" s="430">
        <v>2035.2</v>
      </c>
      <c r="FL35" s="430">
        <v>2259.19</v>
      </c>
      <c r="FM35" s="430">
        <v>2699.1</v>
      </c>
      <c r="FN35" s="430">
        <v>3294.54</v>
      </c>
      <c r="FO35" s="430">
        <v>2840.46</v>
      </c>
      <c r="FP35" s="430">
        <v>2266.15</v>
      </c>
      <c r="FQ35" s="430">
        <v>2243.14</v>
      </c>
      <c r="FR35" s="430">
        <v>2506.4699999999998</v>
      </c>
      <c r="FS35" s="430">
        <v>2911.57</v>
      </c>
      <c r="FT35" s="430">
        <v>3467.2</v>
      </c>
      <c r="FU35" s="430">
        <v>3800.16</v>
      </c>
      <c r="FV35" s="271">
        <f t="shared" si="28"/>
        <v>2365.8008396414175</v>
      </c>
      <c r="FW35" s="312"/>
    </row>
    <row r="36" spans="1:179">
      <c r="A36" s="1074"/>
      <c r="B36" s="398" t="s">
        <v>307</v>
      </c>
      <c r="C36" s="399" t="s">
        <v>313</v>
      </c>
      <c r="D36" s="399">
        <v>0.51</v>
      </c>
      <c r="E36" s="1066"/>
      <c r="F36" s="422" t="s">
        <v>132</v>
      </c>
      <c r="G36" s="423">
        <f t="shared" ref="G36:BR36" si="31">$D$36*G16</f>
        <v>58354.539999999994</v>
      </c>
      <c r="H36" s="423">
        <f t="shared" si="31"/>
        <v>58354.539999999994</v>
      </c>
      <c r="I36" s="423">
        <f t="shared" si="31"/>
        <v>58354.539999999994</v>
      </c>
      <c r="J36" s="423">
        <f t="shared" si="31"/>
        <v>58354.539999999994</v>
      </c>
      <c r="K36" s="423">
        <f t="shared" si="31"/>
        <v>58354.539999999994</v>
      </c>
      <c r="L36" s="423">
        <f t="shared" si="31"/>
        <v>58354.539999999994</v>
      </c>
      <c r="M36" s="423">
        <f t="shared" si="31"/>
        <v>58354.539999999994</v>
      </c>
      <c r="N36" s="423">
        <f t="shared" si="31"/>
        <v>58354.539999999994</v>
      </c>
      <c r="O36" s="423">
        <f t="shared" si="31"/>
        <v>58354.539999999994</v>
      </c>
      <c r="P36" s="423">
        <f t="shared" si="31"/>
        <v>58354.539999999994</v>
      </c>
      <c r="Q36" s="423">
        <f t="shared" si="31"/>
        <v>58354.539999999994</v>
      </c>
      <c r="R36" s="423">
        <f t="shared" si="31"/>
        <v>58354.539999999994</v>
      </c>
      <c r="S36" s="423">
        <f t="shared" si="31"/>
        <v>58354.539999999994</v>
      </c>
      <c r="T36" s="423">
        <f t="shared" si="31"/>
        <v>58354.539999999994</v>
      </c>
      <c r="U36" s="423">
        <f t="shared" si="31"/>
        <v>58354.539999999994</v>
      </c>
      <c r="V36" s="423">
        <f t="shared" si="31"/>
        <v>58354.539999999994</v>
      </c>
      <c r="W36" s="423">
        <f t="shared" si="31"/>
        <v>58354.539999999994</v>
      </c>
      <c r="X36" s="423">
        <f t="shared" si="31"/>
        <v>58354.539999999994</v>
      </c>
      <c r="Y36" s="423">
        <f t="shared" si="31"/>
        <v>58354.539999999994</v>
      </c>
      <c r="Z36" s="423">
        <f t="shared" si="31"/>
        <v>58354.539999999994</v>
      </c>
      <c r="AA36" s="423">
        <f t="shared" si="31"/>
        <v>58354.539999999994</v>
      </c>
      <c r="AB36" s="423">
        <f t="shared" si="31"/>
        <v>58354.539999999994</v>
      </c>
      <c r="AC36" s="423">
        <f t="shared" si="31"/>
        <v>58354.539999999994</v>
      </c>
      <c r="AD36" s="423">
        <f t="shared" si="31"/>
        <v>58354.539999999994</v>
      </c>
      <c r="AE36" s="423">
        <f t="shared" si="31"/>
        <v>58354.539999999994</v>
      </c>
      <c r="AF36" s="423">
        <f t="shared" si="31"/>
        <v>58354.539999999994</v>
      </c>
      <c r="AG36" s="423">
        <f t="shared" si="31"/>
        <v>58354.539999999994</v>
      </c>
      <c r="AH36" s="423">
        <f t="shared" si="31"/>
        <v>58354.539999999994</v>
      </c>
      <c r="AI36" s="423">
        <f t="shared" si="31"/>
        <v>58354.539999999994</v>
      </c>
      <c r="AJ36" s="423">
        <f t="shared" si="31"/>
        <v>58354.539999999994</v>
      </c>
      <c r="AK36" s="423">
        <f t="shared" si="31"/>
        <v>58354.539999999994</v>
      </c>
      <c r="AL36" s="423">
        <f t="shared" si="31"/>
        <v>58354.539999999994</v>
      </c>
      <c r="AM36" s="423">
        <f t="shared" si="31"/>
        <v>58354.539999999994</v>
      </c>
      <c r="AN36" s="423">
        <f t="shared" si="31"/>
        <v>58354.539999999994</v>
      </c>
      <c r="AO36" s="423">
        <f t="shared" si="31"/>
        <v>58354.539999999994</v>
      </c>
      <c r="AP36" s="423">
        <f t="shared" si="31"/>
        <v>58354.539999999994</v>
      </c>
      <c r="AQ36" s="423">
        <f t="shared" si="31"/>
        <v>58354.539999999994</v>
      </c>
      <c r="AR36" s="423">
        <f t="shared" si="31"/>
        <v>58354.539999999994</v>
      </c>
      <c r="AS36" s="423">
        <f t="shared" si="31"/>
        <v>58354.539999999994</v>
      </c>
      <c r="AT36" s="423">
        <f t="shared" si="31"/>
        <v>58354.539999999994</v>
      </c>
      <c r="AU36" s="424">
        <f t="shared" si="31"/>
        <v>58354.539999999994</v>
      </c>
      <c r="AV36" s="424">
        <f t="shared" si="31"/>
        <v>58354.539999999994</v>
      </c>
      <c r="AW36" s="424">
        <f t="shared" si="31"/>
        <v>58354.539999999994</v>
      </c>
      <c r="AX36" s="424">
        <f t="shared" si="31"/>
        <v>58354.539999999994</v>
      </c>
      <c r="AY36" s="424">
        <f t="shared" si="31"/>
        <v>58354.539999999994</v>
      </c>
      <c r="AZ36" s="424">
        <f t="shared" si="31"/>
        <v>58354.539999999994</v>
      </c>
      <c r="BA36" s="424">
        <f t="shared" si="31"/>
        <v>58354.539999999994</v>
      </c>
      <c r="BB36" s="424">
        <f t="shared" si="31"/>
        <v>58354.539999999994</v>
      </c>
      <c r="BC36" s="424">
        <f t="shared" si="31"/>
        <v>58354.539999999994</v>
      </c>
      <c r="BD36" s="424">
        <f t="shared" si="31"/>
        <v>58354.539999999994</v>
      </c>
      <c r="BE36" s="424">
        <f t="shared" si="31"/>
        <v>58354.539999999994</v>
      </c>
      <c r="BF36" s="424">
        <f t="shared" si="31"/>
        <v>58354.539999999994</v>
      </c>
      <c r="BG36" s="424">
        <f t="shared" si="31"/>
        <v>58354.539999999994</v>
      </c>
      <c r="BH36" s="424">
        <f t="shared" si="31"/>
        <v>58354.539999999994</v>
      </c>
      <c r="BI36" s="424">
        <f t="shared" si="31"/>
        <v>58354.539999999994</v>
      </c>
      <c r="BJ36" s="424">
        <f t="shared" si="31"/>
        <v>58354.539999999994</v>
      </c>
      <c r="BK36" s="424">
        <f t="shared" si="31"/>
        <v>58354.539999999994</v>
      </c>
      <c r="BL36" s="424">
        <f t="shared" si="31"/>
        <v>58354.539999999994</v>
      </c>
      <c r="BM36" s="424">
        <f t="shared" si="31"/>
        <v>58354.539999999994</v>
      </c>
      <c r="BN36" s="424">
        <f t="shared" si="31"/>
        <v>58354.539999999994</v>
      </c>
      <c r="BO36" s="424">
        <f t="shared" si="31"/>
        <v>58354.539999999994</v>
      </c>
      <c r="BP36" s="424">
        <f t="shared" si="31"/>
        <v>58354.539999999994</v>
      </c>
      <c r="BQ36" s="424">
        <f t="shared" si="31"/>
        <v>58354.539999999994</v>
      </c>
      <c r="BR36" s="424">
        <f t="shared" si="31"/>
        <v>58354.539999999994</v>
      </c>
      <c r="BS36" s="424">
        <f t="shared" ref="BS36:CL36" si="32">$D$36*BS16</f>
        <v>58354.539999999994</v>
      </c>
      <c r="BT36" s="424">
        <f t="shared" si="32"/>
        <v>58354.539999999994</v>
      </c>
      <c r="BU36" s="424">
        <f t="shared" si="32"/>
        <v>58354.539999999994</v>
      </c>
      <c r="BV36" s="424">
        <f t="shared" si="32"/>
        <v>58354.539999999994</v>
      </c>
      <c r="BW36" s="424">
        <f t="shared" si="32"/>
        <v>58354.539999999994</v>
      </c>
      <c r="BX36" s="424">
        <f t="shared" si="32"/>
        <v>58354.539999999994</v>
      </c>
      <c r="BY36" s="424">
        <f t="shared" si="32"/>
        <v>58354.539999999994</v>
      </c>
      <c r="BZ36" s="424">
        <f t="shared" si="32"/>
        <v>58354.539999999994</v>
      </c>
      <c r="CA36" s="424">
        <f t="shared" si="32"/>
        <v>58354.539999999994</v>
      </c>
      <c r="CB36" s="424">
        <f t="shared" si="32"/>
        <v>58354.539999999994</v>
      </c>
      <c r="CC36" s="424">
        <f t="shared" si="32"/>
        <v>58354.539999999994</v>
      </c>
      <c r="CD36" s="424">
        <f t="shared" si="32"/>
        <v>58354.539999999994</v>
      </c>
      <c r="CE36" s="424">
        <f t="shared" si="32"/>
        <v>58354.539999999994</v>
      </c>
      <c r="CF36" s="424">
        <f t="shared" si="32"/>
        <v>58354.539999999994</v>
      </c>
      <c r="CG36" s="424">
        <f t="shared" si="32"/>
        <v>58354.539999999994</v>
      </c>
      <c r="CH36" s="424">
        <f t="shared" si="32"/>
        <v>58354.539999999994</v>
      </c>
      <c r="CI36" s="424">
        <f t="shared" si="32"/>
        <v>58354.539999999994</v>
      </c>
      <c r="CJ36" s="424">
        <f t="shared" si="32"/>
        <v>58354.539999999994</v>
      </c>
      <c r="CK36" s="424">
        <f t="shared" si="32"/>
        <v>58354.539999999994</v>
      </c>
      <c r="CL36" s="422">
        <f t="shared" si="32"/>
        <v>58354.539999999994</v>
      </c>
      <c r="CM36" s="397">
        <f t="shared" si="27"/>
        <v>58354.540000000023</v>
      </c>
      <c r="CN36" s="429" t="s">
        <v>321</v>
      </c>
      <c r="CO36" s="430">
        <v>36.979805128205101</v>
      </c>
      <c r="CP36" s="430">
        <v>36.979805128205101</v>
      </c>
      <c r="CQ36" s="430">
        <v>36.979805128205101</v>
      </c>
      <c r="CR36" s="430">
        <v>36.979805128205101</v>
      </c>
      <c r="CS36" s="430">
        <v>36.979805128205101</v>
      </c>
      <c r="CT36" s="430">
        <v>36.979805128205101</v>
      </c>
      <c r="CU36" s="430">
        <v>36.979805128205101</v>
      </c>
      <c r="CV36" s="430">
        <v>36.979805128205101</v>
      </c>
      <c r="CW36" s="430">
        <v>37.756290598290597</v>
      </c>
      <c r="CX36" s="430">
        <v>36.979805128205101</v>
      </c>
      <c r="CY36" s="430">
        <v>37.756290598290597</v>
      </c>
      <c r="CZ36" s="430">
        <v>38.532776068376101</v>
      </c>
      <c r="DA36" s="430">
        <v>39.309261538461499</v>
      </c>
      <c r="DB36" s="430">
        <v>40.085747008547003</v>
      </c>
      <c r="DC36" s="430">
        <v>40.8622324786325</v>
      </c>
      <c r="DD36" s="430">
        <v>41.638717948718003</v>
      </c>
      <c r="DE36" s="430">
        <v>42.415203418803401</v>
      </c>
      <c r="DF36" s="430">
        <v>43.191688888888898</v>
      </c>
      <c r="DG36" s="430">
        <v>43.968174358974402</v>
      </c>
      <c r="DH36" s="430">
        <v>44.744659829059799</v>
      </c>
      <c r="DI36" s="430">
        <v>45.521145299145303</v>
      </c>
      <c r="DJ36" s="430">
        <v>46.2976307692308</v>
      </c>
      <c r="DK36" s="430">
        <v>47.074116239316197</v>
      </c>
      <c r="DL36" s="430">
        <v>47.850601709401701</v>
      </c>
      <c r="DM36" s="430">
        <v>48.627087179487198</v>
      </c>
      <c r="DN36" s="430">
        <v>49.403572649572702</v>
      </c>
      <c r="DO36" s="430">
        <v>50.180058119658099</v>
      </c>
      <c r="DP36" s="430">
        <v>50.956543589743603</v>
      </c>
      <c r="DQ36" s="430">
        <v>51.7330290598291</v>
      </c>
      <c r="DR36" s="430">
        <v>52.509514529914497</v>
      </c>
      <c r="DS36" s="430">
        <v>53.286000000000001</v>
      </c>
      <c r="DT36" s="430">
        <v>54.062485470085498</v>
      </c>
      <c r="DU36" s="430">
        <v>54.838970940170903</v>
      </c>
      <c r="DV36" s="430">
        <v>55.6154564102564</v>
      </c>
      <c r="DW36" s="430">
        <v>56.391941880341903</v>
      </c>
      <c r="DX36" s="430">
        <v>57.1684273504274</v>
      </c>
      <c r="DY36" s="430">
        <v>57.944912820512798</v>
      </c>
      <c r="DZ36" s="430">
        <v>58.721398290598302</v>
      </c>
      <c r="EA36" s="430">
        <v>59.497883760683798</v>
      </c>
      <c r="EB36" s="430">
        <v>60.274369230769203</v>
      </c>
      <c r="EC36" s="430">
        <v>56.1</v>
      </c>
      <c r="ED36" s="430">
        <v>57.6</v>
      </c>
      <c r="EE36" s="430">
        <v>55.7</v>
      </c>
      <c r="EF36" s="430">
        <v>59.95</v>
      </c>
      <c r="EG36" s="430">
        <v>68.569999999999993</v>
      </c>
      <c r="EH36" s="430">
        <v>79.7</v>
      </c>
      <c r="EI36" s="430">
        <v>85.01</v>
      </c>
      <c r="EJ36" s="430">
        <v>73.42</v>
      </c>
      <c r="EK36" s="430">
        <v>68.25</v>
      </c>
      <c r="EL36" s="430">
        <v>53.25</v>
      </c>
      <c r="EM36" s="430">
        <v>65.459999999999994</v>
      </c>
      <c r="EN36" s="430">
        <v>60.93</v>
      </c>
      <c r="EO36" s="430">
        <v>59.7</v>
      </c>
      <c r="EP36" s="430">
        <v>58.94</v>
      </c>
      <c r="EQ36" s="430">
        <v>57.95</v>
      </c>
      <c r="ER36" s="430">
        <v>78.48</v>
      </c>
      <c r="ES36" s="430">
        <v>82.51</v>
      </c>
      <c r="ET36" s="430">
        <v>83.6</v>
      </c>
      <c r="EU36" s="430">
        <v>102.15</v>
      </c>
      <c r="EV36" s="430">
        <v>74.58</v>
      </c>
      <c r="EW36" s="430">
        <v>78.45</v>
      </c>
      <c r="EX36" s="430">
        <v>76.87</v>
      </c>
      <c r="EY36" s="430">
        <v>82.39</v>
      </c>
      <c r="EZ36" s="430">
        <v>77.88</v>
      </c>
      <c r="FA36" s="430">
        <v>75.39</v>
      </c>
      <c r="FB36" s="430">
        <v>66.849999999999994</v>
      </c>
      <c r="FC36" s="430">
        <v>64.58</v>
      </c>
      <c r="FD36" s="430">
        <v>84.97</v>
      </c>
      <c r="FE36" s="430">
        <v>78.069999999999993</v>
      </c>
      <c r="FF36" s="430">
        <v>71.17</v>
      </c>
      <c r="FG36" s="430">
        <v>68.23</v>
      </c>
      <c r="FH36" s="430">
        <v>69.2</v>
      </c>
      <c r="FI36" s="430">
        <v>71.16</v>
      </c>
      <c r="FJ36" s="430">
        <v>82.9</v>
      </c>
      <c r="FK36" s="430">
        <v>88.88</v>
      </c>
      <c r="FL36" s="430">
        <v>80.14</v>
      </c>
      <c r="FM36" s="430">
        <v>89.43</v>
      </c>
      <c r="FN36" s="430">
        <v>102.78</v>
      </c>
      <c r="FO36" s="430">
        <v>102.25</v>
      </c>
      <c r="FP36" s="430">
        <v>100.32</v>
      </c>
      <c r="FQ36" s="430">
        <v>81.34</v>
      </c>
      <c r="FR36" s="430">
        <v>90.67</v>
      </c>
      <c r="FS36" s="430">
        <v>91.86</v>
      </c>
      <c r="FT36" s="430">
        <v>95.99</v>
      </c>
      <c r="FU36" s="430">
        <v>94.95</v>
      </c>
      <c r="FV36" s="271">
        <f t="shared" si="28"/>
        <v>76.634888888888895</v>
      </c>
      <c r="FW36" s="312"/>
    </row>
    <row r="37" spans="1:179" ht="26.25" customHeight="1">
      <c r="A37" s="1074"/>
      <c r="B37" s="398" t="s">
        <v>307</v>
      </c>
      <c r="C37" s="399" t="s">
        <v>322</v>
      </c>
      <c r="D37" s="399">
        <v>0.14000000000000001</v>
      </c>
      <c r="E37" s="1066"/>
      <c r="F37" s="422" t="s">
        <v>131</v>
      </c>
      <c r="G37" s="423">
        <f t="shared" ref="G37:BR37" si="33">$D$37*G16</f>
        <v>16018.893333333333</v>
      </c>
      <c r="H37" s="423">
        <f t="shared" si="33"/>
        <v>16018.893333333333</v>
      </c>
      <c r="I37" s="423">
        <f t="shared" si="33"/>
        <v>16018.893333333333</v>
      </c>
      <c r="J37" s="423">
        <f t="shared" si="33"/>
        <v>16018.893333333333</v>
      </c>
      <c r="K37" s="423">
        <f t="shared" si="33"/>
        <v>16018.893333333333</v>
      </c>
      <c r="L37" s="423">
        <f t="shared" si="33"/>
        <v>16018.893333333333</v>
      </c>
      <c r="M37" s="423">
        <f t="shared" si="33"/>
        <v>16018.893333333333</v>
      </c>
      <c r="N37" s="423">
        <f t="shared" si="33"/>
        <v>16018.893333333333</v>
      </c>
      <c r="O37" s="423">
        <f t="shared" si="33"/>
        <v>16018.893333333333</v>
      </c>
      <c r="P37" s="423">
        <f t="shared" si="33"/>
        <v>16018.893333333333</v>
      </c>
      <c r="Q37" s="423">
        <f t="shared" si="33"/>
        <v>16018.893333333333</v>
      </c>
      <c r="R37" s="423">
        <f t="shared" si="33"/>
        <v>16018.893333333333</v>
      </c>
      <c r="S37" s="423">
        <f t="shared" si="33"/>
        <v>16018.893333333333</v>
      </c>
      <c r="T37" s="423">
        <f t="shared" si="33"/>
        <v>16018.893333333333</v>
      </c>
      <c r="U37" s="423">
        <f t="shared" si="33"/>
        <v>16018.893333333333</v>
      </c>
      <c r="V37" s="423">
        <f t="shared" si="33"/>
        <v>16018.893333333333</v>
      </c>
      <c r="W37" s="423">
        <f t="shared" si="33"/>
        <v>16018.893333333333</v>
      </c>
      <c r="X37" s="423">
        <f t="shared" si="33"/>
        <v>16018.893333333333</v>
      </c>
      <c r="Y37" s="423">
        <f t="shared" si="33"/>
        <v>16018.893333333333</v>
      </c>
      <c r="Z37" s="423">
        <f t="shared" si="33"/>
        <v>16018.893333333333</v>
      </c>
      <c r="AA37" s="423">
        <f t="shared" si="33"/>
        <v>16018.893333333333</v>
      </c>
      <c r="AB37" s="423">
        <f t="shared" si="33"/>
        <v>16018.893333333333</v>
      </c>
      <c r="AC37" s="423">
        <f t="shared" si="33"/>
        <v>16018.893333333333</v>
      </c>
      <c r="AD37" s="423">
        <f t="shared" si="33"/>
        <v>16018.893333333333</v>
      </c>
      <c r="AE37" s="423">
        <f t="shared" si="33"/>
        <v>16018.893333333333</v>
      </c>
      <c r="AF37" s="423">
        <f t="shared" si="33"/>
        <v>16018.893333333333</v>
      </c>
      <c r="AG37" s="423">
        <f t="shared" si="33"/>
        <v>16018.893333333333</v>
      </c>
      <c r="AH37" s="423">
        <f t="shared" si="33"/>
        <v>16018.893333333333</v>
      </c>
      <c r="AI37" s="423">
        <f t="shared" si="33"/>
        <v>16018.893333333333</v>
      </c>
      <c r="AJ37" s="423">
        <f t="shared" si="33"/>
        <v>16018.893333333333</v>
      </c>
      <c r="AK37" s="423">
        <f t="shared" si="33"/>
        <v>16018.893333333333</v>
      </c>
      <c r="AL37" s="423">
        <f t="shared" si="33"/>
        <v>16018.893333333333</v>
      </c>
      <c r="AM37" s="423">
        <f t="shared" si="33"/>
        <v>16018.893333333333</v>
      </c>
      <c r="AN37" s="423">
        <f t="shared" si="33"/>
        <v>16018.893333333333</v>
      </c>
      <c r="AO37" s="423">
        <f t="shared" si="33"/>
        <v>16018.893333333333</v>
      </c>
      <c r="AP37" s="423">
        <f t="shared" si="33"/>
        <v>16018.893333333333</v>
      </c>
      <c r="AQ37" s="423">
        <f t="shared" si="33"/>
        <v>16018.893333333333</v>
      </c>
      <c r="AR37" s="423">
        <f t="shared" si="33"/>
        <v>16018.893333333333</v>
      </c>
      <c r="AS37" s="423">
        <f t="shared" si="33"/>
        <v>16018.893333333333</v>
      </c>
      <c r="AT37" s="423">
        <f t="shared" si="33"/>
        <v>16018.893333333333</v>
      </c>
      <c r="AU37" s="424">
        <f t="shared" si="33"/>
        <v>16018.893333333333</v>
      </c>
      <c r="AV37" s="424">
        <f t="shared" si="33"/>
        <v>16018.893333333333</v>
      </c>
      <c r="AW37" s="424">
        <f t="shared" si="33"/>
        <v>16018.893333333333</v>
      </c>
      <c r="AX37" s="424">
        <f t="shared" si="33"/>
        <v>16018.893333333333</v>
      </c>
      <c r="AY37" s="424">
        <f t="shared" si="33"/>
        <v>16018.893333333333</v>
      </c>
      <c r="AZ37" s="424">
        <f t="shared" si="33"/>
        <v>16018.893333333333</v>
      </c>
      <c r="BA37" s="424">
        <f t="shared" si="33"/>
        <v>16018.893333333333</v>
      </c>
      <c r="BB37" s="424">
        <f t="shared" si="33"/>
        <v>16018.893333333333</v>
      </c>
      <c r="BC37" s="424">
        <f t="shared" si="33"/>
        <v>16018.893333333333</v>
      </c>
      <c r="BD37" s="424">
        <f t="shared" si="33"/>
        <v>16018.893333333333</v>
      </c>
      <c r="BE37" s="424">
        <f t="shared" si="33"/>
        <v>16018.893333333333</v>
      </c>
      <c r="BF37" s="424">
        <f t="shared" si="33"/>
        <v>16018.893333333333</v>
      </c>
      <c r="BG37" s="424">
        <f t="shared" si="33"/>
        <v>16018.893333333333</v>
      </c>
      <c r="BH37" s="424">
        <f t="shared" si="33"/>
        <v>16018.893333333333</v>
      </c>
      <c r="BI37" s="424">
        <f t="shared" si="33"/>
        <v>16018.893333333333</v>
      </c>
      <c r="BJ37" s="424">
        <f t="shared" si="33"/>
        <v>16018.893333333333</v>
      </c>
      <c r="BK37" s="424">
        <f t="shared" si="33"/>
        <v>16018.893333333333</v>
      </c>
      <c r="BL37" s="424">
        <f t="shared" si="33"/>
        <v>16018.893333333333</v>
      </c>
      <c r="BM37" s="424">
        <f t="shared" si="33"/>
        <v>16018.893333333333</v>
      </c>
      <c r="BN37" s="424">
        <f t="shared" si="33"/>
        <v>16018.893333333333</v>
      </c>
      <c r="BO37" s="424">
        <f t="shared" si="33"/>
        <v>16018.893333333333</v>
      </c>
      <c r="BP37" s="424">
        <f t="shared" si="33"/>
        <v>16018.893333333333</v>
      </c>
      <c r="BQ37" s="424">
        <f t="shared" si="33"/>
        <v>16018.893333333333</v>
      </c>
      <c r="BR37" s="424">
        <f t="shared" si="33"/>
        <v>16018.893333333333</v>
      </c>
      <c r="BS37" s="424">
        <f t="shared" ref="BS37:CL37" si="34">$D$37*BS16</f>
        <v>16018.893333333333</v>
      </c>
      <c r="BT37" s="424">
        <f t="shared" si="34"/>
        <v>16018.893333333333</v>
      </c>
      <c r="BU37" s="424">
        <f t="shared" si="34"/>
        <v>16018.893333333333</v>
      </c>
      <c r="BV37" s="424">
        <f t="shared" si="34"/>
        <v>16018.893333333333</v>
      </c>
      <c r="BW37" s="424">
        <f t="shared" si="34"/>
        <v>16018.893333333333</v>
      </c>
      <c r="BX37" s="424">
        <f t="shared" si="34"/>
        <v>16018.893333333333</v>
      </c>
      <c r="BY37" s="424">
        <f t="shared" si="34"/>
        <v>16018.893333333333</v>
      </c>
      <c r="BZ37" s="424">
        <f t="shared" si="34"/>
        <v>16018.893333333333</v>
      </c>
      <c r="CA37" s="424">
        <f t="shared" si="34"/>
        <v>16018.893333333333</v>
      </c>
      <c r="CB37" s="424">
        <f t="shared" si="34"/>
        <v>16018.893333333333</v>
      </c>
      <c r="CC37" s="424">
        <f t="shared" si="34"/>
        <v>16018.893333333333</v>
      </c>
      <c r="CD37" s="424">
        <f t="shared" si="34"/>
        <v>16018.893333333333</v>
      </c>
      <c r="CE37" s="424">
        <f t="shared" si="34"/>
        <v>16018.893333333333</v>
      </c>
      <c r="CF37" s="424">
        <f t="shared" si="34"/>
        <v>16018.893333333333</v>
      </c>
      <c r="CG37" s="424">
        <f t="shared" si="34"/>
        <v>16018.893333333333</v>
      </c>
      <c r="CH37" s="424">
        <f t="shared" si="34"/>
        <v>16018.893333333333</v>
      </c>
      <c r="CI37" s="424">
        <f t="shared" si="34"/>
        <v>16018.893333333333</v>
      </c>
      <c r="CJ37" s="424">
        <f t="shared" si="34"/>
        <v>16018.893333333333</v>
      </c>
      <c r="CK37" s="424">
        <f t="shared" si="34"/>
        <v>16018.893333333333</v>
      </c>
      <c r="CL37" s="422">
        <f t="shared" si="34"/>
        <v>16018.893333333333</v>
      </c>
      <c r="CM37" s="397">
        <f t="shared" si="27"/>
        <v>16018.893333333317</v>
      </c>
      <c r="CN37" s="429" t="s">
        <v>180</v>
      </c>
      <c r="CO37" s="430">
        <v>3.25</v>
      </c>
      <c r="CP37" s="430">
        <v>3.25</v>
      </c>
      <c r="CQ37" s="430">
        <v>3.25</v>
      </c>
      <c r="CR37" s="430">
        <v>3.25</v>
      </c>
      <c r="CS37" s="430">
        <v>3.25</v>
      </c>
      <c r="CT37" s="430">
        <v>3.5</v>
      </c>
      <c r="CU37" s="430">
        <v>3.5</v>
      </c>
      <c r="CV37" s="430">
        <v>3.5</v>
      </c>
      <c r="CW37" s="430">
        <v>3.5</v>
      </c>
      <c r="CX37" s="430">
        <v>3.5</v>
      </c>
      <c r="CY37" s="430">
        <v>3.5</v>
      </c>
      <c r="CZ37" s="430">
        <v>3.5</v>
      </c>
      <c r="DA37" s="430">
        <v>3.5</v>
      </c>
      <c r="DB37" s="430">
        <v>3.5</v>
      </c>
      <c r="DC37" s="430">
        <v>3.5</v>
      </c>
      <c r="DD37" s="430">
        <v>3.5</v>
      </c>
      <c r="DE37" s="430">
        <v>3.5574974358974401</v>
      </c>
      <c r="DF37" s="430">
        <v>3.5365333333333302</v>
      </c>
      <c r="DG37" s="430">
        <v>3.5155692307692301</v>
      </c>
      <c r="DH37" s="430">
        <v>3.49460512820513</v>
      </c>
      <c r="DI37" s="430">
        <v>3.4736410256410299</v>
      </c>
      <c r="DJ37" s="430">
        <v>3.4526769230769201</v>
      </c>
      <c r="DK37" s="430">
        <v>3.43171282051282</v>
      </c>
      <c r="DL37" s="430">
        <v>3.4107487179487199</v>
      </c>
      <c r="DM37" s="430">
        <v>3.3897846153846101</v>
      </c>
      <c r="DN37" s="430">
        <v>3.36882051282051</v>
      </c>
      <c r="DO37" s="430">
        <v>3.3478564102564099</v>
      </c>
      <c r="DP37" s="430">
        <v>3.3268923076923098</v>
      </c>
      <c r="DQ37" s="430">
        <v>3.3059282051282</v>
      </c>
      <c r="DR37" s="430">
        <v>3.2849641025640999</v>
      </c>
      <c r="DS37" s="430">
        <v>3.2639999999999998</v>
      </c>
      <c r="DT37" s="430">
        <v>3.2430358974359002</v>
      </c>
      <c r="DU37" s="430">
        <v>3.2220717948717899</v>
      </c>
      <c r="DV37" s="430">
        <v>3.2011076923076902</v>
      </c>
      <c r="DW37" s="430">
        <v>3.1801435897435901</v>
      </c>
      <c r="DX37" s="430">
        <v>3.15917948717949</v>
      </c>
      <c r="DY37" s="430">
        <v>3.1382153846153802</v>
      </c>
      <c r="DZ37" s="430">
        <v>3.1172512820512801</v>
      </c>
      <c r="EA37" s="430">
        <v>3.09628717948718</v>
      </c>
      <c r="EB37" s="430">
        <v>3.0753230769230799</v>
      </c>
      <c r="EC37" s="430">
        <v>2.19</v>
      </c>
      <c r="ED37" s="430">
        <v>3.16</v>
      </c>
      <c r="EE37" s="430">
        <v>3.15</v>
      </c>
      <c r="EF37" s="430">
        <v>2.71</v>
      </c>
      <c r="EG37" s="430">
        <v>2.67</v>
      </c>
      <c r="EH37" s="430">
        <v>2.98</v>
      </c>
      <c r="EI37" s="430">
        <v>3.6</v>
      </c>
      <c r="EJ37" s="430">
        <v>3.3</v>
      </c>
      <c r="EK37" s="430">
        <v>3.19</v>
      </c>
      <c r="EL37" s="430">
        <v>3.54</v>
      </c>
      <c r="EM37" s="430">
        <v>3.04</v>
      </c>
      <c r="EN37" s="430">
        <v>2.95</v>
      </c>
      <c r="EO37" s="430">
        <v>2.5499999999999998</v>
      </c>
      <c r="EP37" s="430">
        <v>3.17</v>
      </c>
      <c r="EQ37" s="430">
        <v>2.7</v>
      </c>
      <c r="ER37" s="430">
        <v>2.14</v>
      </c>
      <c r="ES37" s="430">
        <v>2.11</v>
      </c>
      <c r="ET37" s="430">
        <v>2.31</v>
      </c>
      <c r="EU37" s="430">
        <v>2.5499999999999998</v>
      </c>
      <c r="EV37" s="430">
        <v>2.8</v>
      </c>
      <c r="EW37" s="430">
        <v>2.42</v>
      </c>
      <c r="EX37" s="430">
        <v>2.8</v>
      </c>
      <c r="EY37" s="430">
        <v>2.73</v>
      </c>
      <c r="EZ37" s="430">
        <v>2.99</v>
      </c>
      <c r="FA37" s="430">
        <v>2.38</v>
      </c>
      <c r="FB37" s="430">
        <v>2.4700000000000002</v>
      </c>
      <c r="FC37" s="430">
        <v>1.66</v>
      </c>
      <c r="FD37" s="430">
        <v>2.34</v>
      </c>
      <c r="FE37" s="430">
        <v>2.73</v>
      </c>
      <c r="FF37" s="430">
        <v>1.44</v>
      </c>
      <c r="FG37" s="430">
        <v>1.22</v>
      </c>
      <c r="FH37" s="430">
        <v>1.58</v>
      </c>
      <c r="FI37" s="430">
        <v>2.04</v>
      </c>
      <c r="FJ37" s="430">
        <v>2.15</v>
      </c>
      <c r="FK37" s="430">
        <v>2.37</v>
      </c>
      <c r="FL37" s="430">
        <v>2.61</v>
      </c>
      <c r="FM37" s="430">
        <v>2.96</v>
      </c>
      <c r="FN37" s="430">
        <v>3.52</v>
      </c>
      <c r="FO37" s="430">
        <v>3.35</v>
      </c>
      <c r="FP37" s="430">
        <v>2.69</v>
      </c>
      <c r="FQ37" s="430">
        <v>2.57</v>
      </c>
      <c r="FR37" s="430">
        <v>2.83</v>
      </c>
      <c r="FS37" s="430">
        <v>3.48</v>
      </c>
      <c r="FT37" s="430">
        <v>3.56</v>
      </c>
      <c r="FU37" s="430">
        <v>3.74</v>
      </c>
      <c r="FV37" s="271">
        <f t="shared" si="28"/>
        <v>2.6986666666666661</v>
      </c>
      <c r="FW37" s="312"/>
    </row>
    <row r="38" spans="1:179">
      <c r="A38" s="1074"/>
      <c r="B38" s="398" t="s">
        <v>307</v>
      </c>
      <c r="C38" s="399" t="s">
        <v>323</v>
      </c>
      <c r="D38" s="399">
        <v>15.58</v>
      </c>
      <c r="E38" s="1066"/>
      <c r="F38" s="422" t="s">
        <v>130</v>
      </c>
      <c r="G38" s="423">
        <f t="shared" ref="G38:BR38" si="35">$D$38*G16</f>
        <v>1782673.9866666666</v>
      </c>
      <c r="H38" s="423">
        <f t="shared" si="35"/>
        <v>1782673.9866666666</v>
      </c>
      <c r="I38" s="423">
        <f t="shared" si="35"/>
        <v>1782673.9866666666</v>
      </c>
      <c r="J38" s="423">
        <f t="shared" si="35"/>
        <v>1782673.9866666666</v>
      </c>
      <c r="K38" s="423">
        <f t="shared" si="35"/>
        <v>1782673.9866666666</v>
      </c>
      <c r="L38" s="423">
        <f t="shared" si="35"/>
        <v>1782673.9866666666</v>
      </c>
      <c r="M38" s="423">
        <f t="shared" si="35"/>
        <v>1782673.9866666666</v>
      </c>
      <c r="N38" s="423">
        <f t="shared" si="35"/>
        <v>1782673.9866666666</v>
      </c>
      <c r="O38" s="423">
        <f t="shared" si="35"/>
        <v>1782673.9866666666</v>
      </c>
      <c r="P38" s="423">
        <f t="shared" si="35"/>
        <v>1782673.9866666666</v>
      </c>
      <c r="Q38" s="423">
        <f t="shared" si="35"/>
        <v>1782673.9866666666</v>
      </c>
      <c r="R38" s="423">
        <f t="shared" si="35"/>
        <v>1782673.9866666666</v>
      </c>
      <c r="S38" s="423">
        <f t="shared" si="35"/>
        <v>1782673.9866666666</v>
      </c>
      <c r="T38" s="423">
        <f t="shared" si="35"/>
        <v>1782673.9866666666</v>
      </c>
      <c r="U38" s="423">
        <f t="shared" si="35"/>
        <v>1782673.9866666666</v>
      </c>
      <c r="V38" s="423">
        <f t="shared" si="35"/>
        <v>1782673.9866666666</v>
      </c>
      <c r="W38" s="423">
        <f t="shared" si="35"/>
        <v>1782673.9866666666</v>
      </c>
      <c r="X38" s="423">
        <f t="shared" si="35"/>
        <v>1782673.9866666666</v>
      </c>
      <c r="Y38" s="423">
        <f t="shared" si="35"/>
        <v>1782673.9866666666</v>
      </c>
      <c r="Z38" s="423">
        <f t="shared" si="35"/>
        <v>1782673.9866666666</v>
      </c>
      <c r="AA38" s="423">
        <f t="shared" si="35"/>
        <v>1782673.9866666666</v>
      </c>
      <c r="AB38" s="423">
        <f t="shared" si="35"/>
        <v>1782673.9866666666</v>
      </c>
      <c r="AC38" s="423">
        <f t="shared" si="35"/>
        <v>1782673.9866666666</v>
      </c>
      <c r="AD38" s="423">
        <f t="shared" si="35"/>
        <v>1782673.9866666666</v>
      </c>
      <c r="AE38" s="423">
        <f t="shared" si="35"/>
        <v>1782673.9866666666</v>
      </c>
      <c r="AF38" s="423">
        <f t="shared" si="35"/>
        <v>1782673.9866666666</v>
      </c>
      <c r="AG38" s="423">
        <f t="shared" si="35"/>
        <v>1782673.9866666666</v>
      </c>
      <c r="AH38" s="423">
        <f t="shared" si="35"/>
        <v>1782673.9866666666</v>
      </c>
      <c r="AI38" s="423">
        <f t="shared" si="35"/>
        <v>1782673.9866666666</v>
      </c>
      <c r="AJ38" s="423">
        <f t="shared" si="35"/>
        <v>1782673.9866666666</v>
      </c>
      <c r="AK38" s="423">
        <f t="shared" si="35"/>
        <v>1782673.9866666666</v>
      </c>
      <c r="AL38" s="423">
        <f t="shared" si="35"/>
        <v>1782673.9866666666</v>
      </c>
      <c r="AM38" s="423">
        <f t="shared" si="35"/>
        <v>1782673.9866666666</v>
      </c>
      <c r="AN38" s="423">
        <f t="shared" si="35"/>
        <v>1782673.9866666666</v>
      </c>
      <c r="AO38" s="423">
        <f t="shared" si="35"/>
        <v>1782673.9866666666</v>
      </c>
      <c r="AP38" s="423">
        <f t="shared" si="35"/>
        <v>1782673.9866666666</v>
      </c>
      <c r="AQ38" s="423">
        <f t="shared" si="35"/>
        <v>1782673.9866666666</v>
      </c>
      <c r="AR38" s="423">
        <f t="shared" si="35"/>
        <v>1782673.9866666666</v>
      </c>
      <c r="AS38" s="423">
        <f t="shared" si="35"/>
        <v>1782673.9866666666</v>
      </c>
      <c r="AT38" s="423">
        <f t="shared" si="35"/>
        <v>1782673.9866666666</v>
      </c>
      <c r="AU38" s="424">
        <f t="shared" si="35"/>
        <v>1782673.9866666666</v>
      </c>
      <c r="AV38" s="424">
        <f t="shared" si="35"/>
        <v>1782673.9866666666</v>
      </c>
      <c r="AW38" s="424">
        <f t="shared" si="35"/>
        <v>1782673.9866666666</v>
      </c>
      <c r="AX38" s="424">
        <f t="shared" si="35"/>
        <v>1782673.9866666666</v>
      </c>
      <c r="AY38" s="424">
        <f t="shared" si="35"/>
        <v>1782673.9866666666</v>
      </c>
      <c r="AZ38" s="424">
        <f t="shared" si="35"/>
        <v>1782673.9866666666</v>
      </c>
      <c r="BA38" s="424">
        <f t="shared" si="35"/>
        <v>1782673.9866666666</v>
      </c>
      <c r="BB38" s="424">
        <f t="shared" si="35"/>
        <v>1782673.9866666666</v>
      </c>
      <c r="BC38" s="424">
        <f t="shared" si="35"/>
        <v>1782673.9866666666</v>
      </c>
      <c r="BD38" s="424">
        <f t="shared" si="35"/>
        <v>1782673.9866666666</v>
      </c>
      <c r="BE38" s="424">
        <f t="shared" si="35"/>
        <v>1782673.9866666666</v>
      </c>
      <c r="BF38" s="424">
        <f t="shared" si="35"/>
        <v>1782673.9866666666</v>
      </c>
      <c r="BG38" s="424">
        <f t="shared" si="35"/>
        <v>1782673.9866666666</v>
      </c>
      <c r="BH38" s="424">
        <f t="shared" si="35"/>
        <v>1782673.9866666666</v>
      </c>
      <c r="BI38" s="424">
        <f t="shared" si="35"/>
        <v>1782673.9866666666</v>
      </c>
      <c r="BJ38" s="424">
        <f t="shared" si="35"/>
        <v>1782673.9866666666</v>
      </c>
      <c r="BK38" s="424">
        <f t="shared" si="35"/>
        <v>1782673.9866666666</v>
      </c>
      <c r="BL38" s="424">
        <f t="shared" si="35"/>
        <v>1782673.9866666666</v>
      </c>
      <c r="BM38" s="424">
        <f t="shared" si="35"/>
        <v>1782673.9866666666</v>
      </c>
      <c r="BN38" s="424">
        <f t="shared" si="35"/>
        <v>1782673.9866666666</v>
      </c>
      <c r="BO38" s="424">
        <f t="shared" si="35"/>
        <v>1782673.9866666666</v>
      </c>
      <c r="BP38" s="424">
        <f t="shared" si="35"/>
        <v>1782673.9866666666</v>
      </c>
      <c r="BQ38" s="424">
        <f t="shared" si="35"/>
        <v>1782673.9866666666</v>
      </c>
      <c r="BR38" s="424">
        <f t="shared" si="35"/>
        <v>1782673.9866666666</v>
      </c>
      <c r="BS38" s="424">
        <f t="shared" ref="BS38:CL38" si="36">$D$38*BS16</f>
        <v>1782673.9866666666</v>
      </c>
      <c r="BT38" s="424">
        <f t="shared" si="36"/>
        <v>1782673.9866666666</v>
      </c>
      <c r="BU38" s="424">
        <f t="shared" si="36"/>
        <v>1782673.9866666666</v>
      </c>
      <c r="BV38" s="424">
        <f t="shared" si="36"/>
        <v>1782673.9866666666</v>
      </c>
      <c r="BW38" s="424">
        <f t="shared" si="36"/>
        <v>1782673.9866666666</v>
      </c>
      <c r="BX38" s="424">
        <f t="shared" si="36"/>
        <v>1782673.9866666666</v>
      </c>
      <c r="BY38" s="424">
        <f t="shared" si="36"/>
        <v>1782673.9866666666</v>
      </c>
      <c r="BZ38" s="424">
        <f t="shared" si="36"/>
        <v>1782673.9866666666</v>
      </c>
      <c r="CA38" s="424">
        <f t="shared" si="36"/>
        <v>1782673.9866666666</v>
      </c>
      <c r="CB38" s="424">
        <f t="shared" si="36"/>
        <v>1782673.9866666666</v>
      </c>
      <c r="CC38" s="424">
        <f t="shared" si="36"/>
        <v>1782673.9866666666</v>
      </c>
      <c r="CD38" s="424">
        <f t="shared" si="36"/>
        <v>1782673.9866666666</v>
      </c>
      <c r="CE38" s="424">
        <f t="shared" si="36"/>
        <v>1782673.9866666666</v>
      </c>
      <c r="CF38" s="424">
        <f t="shared" si="36"/>
        <v>1782673.9866666666</v>
      </c>
      <c r="CG38" s="424">
        <f t="shared" si="36"/>
        <v>1782673.9866666666</v>
      </c>
      <c r="CH38" s="424">
        <f t="shared" si="36"/>
        <v>1782673.9866666666</v>
      </c>
      <c r="CI38" s="424">
        <f t="shared" si="36"/>
        <v>1782673.9866666666</v>
      </c>
      <c r="CJ38" s="424">
        <f t="shared" si="36"/>
        <v>1782673.9866666666</v>
      </c>
      <c r="CK38" s="424">
        <f t="shared" si="36"/>
        <v>1782673.9866666666</v>
      </c>
      <c r="CL38" s="422">
        <f t="shared" si="36"/>
        <v>1782673.9866666666</v>
      </c>
      <c r="CM38" s="397">
        <f t="shared" si="27"/>
        <v>1782673.9866666666</v>
      </c>
      <c r="CN38" s="431" t="s">
        <v>219</v>
      </c>
      <c r="CO38" s="432">
        <v>3</v>
      </c>
      <c r="CP38" s="432">
        <v>3</v>
      </c>
      <c r="CQ38" s="432">
        <v>3</v>
      </c>
      <c r="CR38" s="432">
        <v>3</v>
      </c>
      <c r="CS38" s="432">
        <v>3</v>
      </c>
      <c r="CT38" s="432">
        <v>3</v>
      </c>
      <c r="CU38" s="432">
        <v>3</v>
      </c>
      <c r="CV38" s="432">
        <v>3</v>
      </c>
      <c r="CW38" s="432">
        <v>3</v>
      </c>
      <c r="CX38" s="432">
        <v>3</v>
      </c>
      <c r="CY38" s="432">
        <v>3</v>
      </c>
      <c r="CZ38" s="432">
        <v>3</v>
      </c>
      <c r="DA38" s="432">
        <v>3</v>
      </c>
      <c r="DB38" s="432">
        <v>3</v>
      </c>
      <c r="DC38" s="432">
        <v>3</v>
      </c>
      <c r="DD38" s="432">
        <v>3</v>
      </c>
      <c r="DE38" s="432">
        <v>3</v>
      </c>
      <c r="DF38" s="432">
        <v>3</v>
      </c>
      <c r="DG38" s="432">
        <v>3</v>
      </c>
      <c r="DH38" s="432">
        <v>3</v>
      </c>
      <c r="DI38" s="432">
        <v>3</v>
      </c>
      <c r="DJ38" s="432">
        <v>3</v>
      </c>
      <c r="DK38" s="432">
        <v>3</v>
      </c>
      <c r="DL38" s="432">
        <v>3</v>
      </c>
      <c r="DM38" s="432">
        <v>3</v>
      </c>
      <c r="DN38" s="432">
        <v>3</v>
      </c>
      <c r="DO38" s="432">
        <v>3</v>
      </c>
      <c r="DP38" s="432">
        <v>3</v>
      </c>
      <c r="DQ38" s="432">
        <v>3</v>
      </c>
      <c r="DR38" s="432">
        <v>3</v>
      </c>
      <c r="DS38" s="432">
        <v>3</v>
      </c>
      <c r="DT38" s="432">
        <v>3</v>
      </c>
      <c r="DU38" s="432">
        <v>3</v>
      </c>
      <c r="DV38" s="432">
        <v>3</v>
      </c>
      <c r="DW38" s="432">
        <v>3</v>
      </c>
      <c r="DX38" s="432">
        <v>3</v>
      </c>
      <c r="DY38" s="432">
        <v>3</v>
      </c>
      <c r="DZ38" s="432">
        <v>3</v>
      </c>
      <c r="EA38" s="432">
        <v>3</v>
      </c>
      <c r="EB38" s="432">
        <v>3</v>
      </c>
      <c r="EC38" s="432">
        <v>3</v>
      </c>
      <c r="ED38" s="432">
        <v>3</v>
      </c>
      <c r="EE38" s="432">
        <v>3</v>
      </c>
      <c r="EF38" s="432">
        <v>3</v>
      </c>
      <c r="EG38" s="432">
        <v>3</v>
      </c>
      <c r="EH38" s="432">
        <v>3</v>
      </c>
      <c r="EI38" s="432">
        <v>3</v>
      </c>
      <c r="EJ38" s="432">
        <v>3</v>
      </c>
      <c r="EK38" s="432">
        <v>3</v>
      </c>
      <c r="EL38" s="432">
        <v>3</v>
      </c>
      <c r="EM38" s="432">
        <v>3</v>
      </c>
      <c r="EN38" s="432">
        <v>3</v>
      </c>
      <c r="EO38" s="432">
        <v>3</v>
      </c>
      <c r="EP38" s="432">
        <v>3</v>
      </c>
      <c r="EQ38" s="432">
        <v>3</v>
      </c>
      <c r="ER38" s="432">
        <v>3</v>
      </c>
      <c r="ES38" s="432">
        <v>3</v>
      </c>
      <c r="ET38" s="432">
        <v>3</v>
      </c>
      <c r="EU38" s="432">
        <v>3</v>
      </c>
      <c r="EV38" s="432">
        <v>3</v>
      </c>
      <c r="EW38" s="432">
        <v>3</v>
      </c>
      <c r="EX38" s="432">
        <v>3</v>
      </c>
      <c r="EY38" s="432">
        <v>3</v>
      </c>
      <c r="EZ38" s="432">
        <v>3</v>
      </c>
      <c r="FA38" s="432">
        <v>3</v>
      </c>
      <c r="FB38" s="432">
        <v>3</v>
      </c>
      <c r="FC38" s="432">
        <v>3</v>
      </c>
      <c r="FD38" s="432">
        <v>3</v>
      </c>
      <c r="FE38" s="432">
        <v>3</v>
      </c>
      <c r="FF38" s="432">
        <v>3</v>
      </c>
      <c r="FG38" s="432">
        <v>3</v>
      </c>
      <c r="FH38" s="432">
        <v>3</v>
      </c>
      <c r="FI38" s="432">
        <v>3</v>
      </c>
      <c r="FJ38" s="432">
        <v>3</v>
      </c>
      <c r="FK38" s="432">
        <v>3</v>
      </c>
      <c r="FL38" s="432">
        <v>3</v>
      </c>
      <c r="FM38" s="432">
        <v>3</v>
      </c>
      <c r="FN38" s="432">
        <v>3</v>
      </c>
      <c r="FO38" s="432">
        <v>3</v>
      </c>
      <c r="FP38" s="432">
        <v>3</v>
      </c>
      <c r="FQ38" s="432">
        <v>3</v>
      </c>
      <c r="FR38" s="432">
        <v>3</v>
      </c>
      <c r="FS38" s="432">
        <v>3</v>
      </c>
      <c r="FT38" s="432">
        <v>3</v>
      </c>
      <c r="FU38" s="432">
        <v>3</v>
      </c>
      <c r="FV38" s="271">
        <f t="shared" si="28"/>
        <v>3</v>
      </c>
      <c r="FW38" s="312"/>
    </row>
    <row r="39" spans="1:179">
      <c r="A39" s="1074"/>
      <c r="B39" s="398" t="s">
        <v>307</v>
      </c>
      <c r="C39" s="399" t="s">
        <v>323</v>
      </c>
      <c r="D39" s="399">
        <v>16.829999999999998</v>
      </c>
      <c r="E39" s="1066"/>
      <c r="F39" s="422" t="s">
        <v>324</v>
      </c>
      <c r="G39" s="423">
        <f>$D$39*G16</f>
        <v>1925699.8199999996</v>
      </c>
      <c r="H39" s="423">
        <f t="shared" ref="H39:BS39" si="37">$D$39*H16</f>
        <v>1925699.8199999996</v>
      </c>
      <c r="I39" s="423">
        <f t="shared" si="37"/>
        <v>1925699.8199999996</v>
      </c>
      <c r="J39" s="423">
        <f t="shared" si="37"/>
        <v>1925699.8199999996</v>
      </c>
      <c r="K39" s="423">
        <f t="shared" si="37"/>
        <v>1925699.8199999996</v>
      </c>
      <c r="L39" s="423">
        <f t="shared" si="37"/>
        <v>1925699.8199999996</v>
      </c>
      <c r="M39" s="423">
        <f t="shared" si="37"/>
        <v>1925699.8199999996</v>
      </c>
      <c r="N39" s="423">
        <f t="shared" si="37"/>
        <v>1925699.8199999996</v>
      </c>
      <c r="O39" s="423">
        <f t="shared" si="37"/>
        <v>1925699.8199999996</v>
      </c>
      <c r="P39" s="423">
        <f t="shared" si="37"/>
        <v>1925699.8199999996</v>
      </c>
      <c r="Q39" s="423">
        <f t="shared" si="37"/>
        <v>1925699.8199999996</v>
      </c>
      <c r="R39" s="423">
        <f t="shared" si="37"/>
        <v>1925699.8199999996</v>
      </c>
      <c r="S39" s="423">
        <f t="shared" si="37"/>
        <v>1925699.8199999996</v>
      </c>
      <c r="T39" s="423">
        <f t="shared" si="37"/>
        <v>1925699.8199999996</v>
      </c>
      <c r="U39" s="423">
        <f t="shared" si="37"/>
        <v>1925699.8199999996</v>
      </c>
      <c r="V39" s="423">
        <f t="shared" si="37"/>
        <v>1925699.8199999996</v>
      </c>
      <c r="W39" s="423">
        <f t="shared" si="37"/>
        <v>1925699.8199999996</v>
      </c>
      <c r="X39" s="423">
        <f t="shared" si="37"/>
        <v>1925699.8199999996</v>
      </c>
      <c r="Y39" s="423">
        <f t="shared" si="37"/>
        <v>1925699.8199999996</v>
      </c>
      <c r="Z39" s="423">
        <f t="shared" si="37"/>
        <v>1925699.8199999996</v>
      </c>
      <c r="AA39" s="423">
        <f t="shared" si="37"/>
        <v>1925699.8199999996</v>
      </c>
      <c r="AB39" s="423">
        <f t="shared" si="37"/>
        <v>1925699.8199999996</v>
      </c>
      <c r="AC39" s="423">
        <f t="shared" si="37"/>
        <v>1925699.8199999996</v>
      </c>
      <c r="AD39" s="423">
        <f t="shared" si="37"/>
        <v>1925699.8199999996</v>
      </c>
      <c r="AE39" s="423">
        <f t="shared" si="37"/>
        <v>1925699.8199999996</v>
      </c>
      <c r="AF39" s="423">
        <f t="shared" si="37"/>
        <v>1925699.8199999996</v>
      </c>
      <c r="AG39" s="423">
        <f t="shared" si="37"/>
        <v>1925699.8199999996</v>
      </c>
      <c r="AH39" s="423">
        <f t="shared" si="37"/>
        <v>1925699.8199999996</v>
      </c>
      <c r="AI39" s="423">
        <f t="shared" si="37"/>
        <v>1925699.8199999996</v>
      </c>
      <c r="AJ39" s="423">
        <f t="shared" si="37"/>
        <v>1925699.8199999996</v>
      </c>
      <c r="AK39" s="423">
        <f t="shared" si="37"/>
        <v>1925699.8199999996</v>
      </c>
      <c r="AL39" s="423">
        <f t="shared" si="37"/>
        <v>1925699.8199999996</v>
      </c>
      <c r="AM39" s="423">
        <f t="shared" si="37"/>
        <v>1925699.8199999996</v>
      </c>
      <c r="AN39" s="423">
        <f t="shared" si="37"/>
        <v>1925699.8199999996</v>
      </c>
      <c r="AO39" s="423">
        <f t="shared" si="37"/>
        <v>1925699.8199999996</v>
      </c>
      <c r="AP39" s="423">
        <f t="shared" si="37"/>
        <v>1925699.8199999996</v>
      </c>
      <c r="AQ39" s="423">
        <f t="shared" si="37"/>
        <v>1925699.8199999996</v>
      </c>
      <c r="AR39" s="423">
        <f t="shared" si="37"/>
        <v>1925699.8199999996</v>
      </c>
      <c r="AS39" s="423">
        <f t="shared" si="37"/>
        <v>1925699.8199999996</v>
      </c>
      <c r="AT39" s="423">
        <f t="shared" si="37"/>
        <v>1925699.8199999996</v>
      </c>
      <c r="AU39" s="423">
        <f t="shared" si="37"/>
        <v>1925699.8199999996</v>
      </c>
      <c r="AV39" s="423">
        <f t="shared" si="37"/>
        <v>1925699.8199999996</v>
      </c>
      <c r="AW39" s="423">
        <f t="shared" si="37"/>
        <v>1925699.8199999996</v>
      </c>
      <c r="AX39" s="423">
        <f t="shared" si="37"/>
        <v>1925699.8199999996</v>
      </c>
      <c r="AY39" s="423">
        <f t="shared" si="37"/>
        <v>1925699.8199999996</v>
      </c>
      <c r="AZ39" s="423">
        <f t="shared" si="37"/>
        <v>1925699.8199999996</v>
      </c>
      <c r="BA39" s="423">
        <f t="shared" si="37"/>
        <v>1925699.8199999996</v>
      </c>
      <c r="BB39" s="423">
        <f t="shared" si="37"/>
        <v>1925699.8199999996</v>
      </c>
      <c r="BC39" s="423">
        <f t="shared" si="37"/>
        <v>1925699.8199999996</v>
      </c>
      <c r="BD39" s="423">
        <f t="shared" si="37"/>
        <v>1925699.8199999996</v>
      </c>
      <c r="BE39" s="423">
        <f t="shared" si="37"/>
        <v>1925699.8199999996</v>
      </c>
      <c r="BF39" s="423">
        <f t="shared" si="37"/>
        <v>1925699.8199999996</v>
      </c>
      <c r="BG39" s="423">
        <f t="shared" si="37"/>
        <v>1925699.8199999996</v>
      </c>
      <c r="BH39" s="423">
        <f t="shared" si="37"/>
        <v>1925699.8199999996</v>
      </c>
      <c r="BI39" s="423">
        <f t="shared" si="37"/>
        <v>1925699.8199999996</v>
      </c>
      <c r="BJ39" s="423">
        <f t="shared" si="37"/>
        <v>1925699.8199999996</v>
      </c>
      <c r="BK39" s="423">
        <f t="shared" si="37"/>
        <v>1925699.8199999996</v>
      </c>
      <c r="BL39" s="423">
        <f t="shared" si="37"/>
        <v>1925699.8199999996</v>
      </c>
      <c r="BM39" s="423">
        <f t="shared" si="37"/>
        <v>1925699.8199999996</v>
      </c>
      <c r="BN39" s="423">
        <f t="shared" si="37"/>
        <v>1925699.8199999996</v>
      </c>
      <c r="BO39" s="423">
        <f t="shared" si="37"/>
        <v>1925699.8199999996</v>
      </c>
      <c r="BP39" s="423">
        <f t="shared" si="37"/>
        <v>1925699.8199999996</v>
      </c>
      <c r="BQ39" s="423">
        <f t="shared" si="37"/>
        <v>1925699.8199999996</v>
      </c>
      <c r="BR39" s="423">
        <f t="shared" si="37"/>
        <v>1925699.8199999996</v>
      </c>
      <c r="BS39" s="423">
        <f t="shared" si="37"/>
        <v>1925699.8199999996</v>
      </c>
      <c r="BT39" s="423">
        <f t="shared" ref="BT39:CL39" si="38">$D$39*BT16</f>
        <v>1925699.8199999996</v>
      </c>
      <c r="BU39" s="423">
        <f t="shared" si="38"/>
        <v>1925699.8199999996</v>
      </c>
      <c r="BV39" s="423">
        <f t="shared" si="38"/>
        <v>1925699.8199999996</v>
      </c>
      <c r="BW39" s="423">
        <f t="shared" si="38"/>
        <v>1925699.8199999996</v>
      </c>
      <c r="BX39" s="423">
        <f t="shared" si="38"/>
        <v>1925699.8199999996</v>
      </c>
      <c r="BY39" s="423">
        <f t="shared" si="38"/>
        <v>1925699.8199999996</v>
      </c>
      <c r="BZ39" s="423">
        <f t="shared" si="38"/>
        <v>1925699.8199999996</v>
      </c>
      <c r="CA39" s="423">
        <f t="shared" si="38"/>
        <v>1925699.8199999996</v>
      </c>
      <c r="CB39" s="423">
        <f t="shared" si="38"/>
        <v>1925699.8199999996</v>
      </c>
      <c r="CC39" s="423">
        <f t="shared" si="38"/>
        <v>1925699.8199999996</v>
      </c>
      <c r="CD39" s="423">
        <f t="shared" si="38"/>
        <v>1925699.8199999996</v>
      </c>
      <c r="CE39" s="423">
        <f t="shared" si="38"/>
        <v>1925699.8199999996</v>
      </c>
      <c r="CF39" s="423">
        <f t="shared" si="38"/>
        <v>1925699.8199999996</v>
      </c>
      <c r="CG39" s="423">
        <f t="shared" si="38"/>
        <v>1925699.8199999996</v>
      </c>
      <c r="CH39" s="423">
        <f t="shared" si="38"/>
        <v>1925699.8199999996</v>
      </c>
      <c r="CI39" s="423">
        <f t="shared" si="38"/>
        <v>1925699.8199999996</v>
      </c>
      <c r="CJ39" s="423">
        <f t="shared" si="38"/>
        <v>1925699.8199999996</v>
      </c>
      <c r="CK39" s="423">
        <f t="shared" si="38"/>
        <v>1925699.8199999996</v>
      </c>
      <c r="CL39" s="423">
        <f t="shared" si="38"/>
        <v>1925699.8199999996</v>
      </c>
      <c r="CM39" s="423">
        <f t="shared" si="27"/>
        <v>1925699.8199999961</v>
      </c>
      <c r="CN39" s="431" t="s">
        <v>220</v>
      </c>
      <c r="CO39" s="432">
        <v>2.4500000000000002</v>
      </c>
      <c r="CP39" s="432">
        <v>2.4500000000000002</v>
      </c>
      <c r="CQ39" s="432">
        <v>2.4500000000000002</v>
      </c>
      <c r="CR39" s="432">
        <v>2.4500000000000002</v>
      </c>
      <c r="CS39" s="432">
        <v>2.4500000000000002</v>
      </c>
      <c r="CT39" s="432">
        <v>2.4500000000000002</v>
      </c>
      <c r="CU39" s="432">
        <v>2.4500000000000002</v>
      </c>
      <c r="CV39" s="432">
        <v>2.4500000000000002</v>
      </c>
      <c r="CW39" s="432">
        <v>2.4500000000000002</v>
      </c>
      <c r="CX39" s="432">
        <v>2.4500000000000002</v>
      </c>
      <c r="CY39" s="432">
        <v>2.4500000000000002</v>
      </c>
      <c r="CZ39" s="432">
        <v>2.4500000000000002</v>
      </c>
      <c r="DA39" s="432">
        <v>2.4500000000000002</v>
      </c>
      <c r="DB39" s="432">
        <v>2.4500000000000002</v>
      </c>
      <c r="DC39" s="432">
        <v>2.4500000000000002</v>
      </c>
      <c r="DD39" s="432">
        <v>2.4500000000000002</v>
      </c>
      <c r="DE39" s="432">
        <v>2.4500000000000002</v>
      </c>
      <c r="DF39" s="432">
        <v>2.4500000000000002</v>
      </c>
      <c r="DG39" s="432">
        <v>2.4500000000000002</v>
      </c>
      <c r="DH39" s="432">
        <v>2.4500000000000002</v>
      </c>
      <c r="DI39" s="432">
        <v>2.4500000000000002</v>
      </c>
      <c r="DJ39" s="432">
        <v>2.4500000000000002</v>
      </c>
      <c r="DK39" s="432">
        <v>2.4500000000000002</v>
      </c>
      <c r="DL39" s="432">
        <v>2.4500000000000002</v>
      </c>
      <c r="DM39" s="432">
        <v>2.4500000000000002</v>
      </c>
      <c r="DN39" s="432">
        <v>2.4500000000000002</v>
      </c>
      <c r="DO39" s="432">
        <v>2.4500000000000002</v>
      </c>
      <c r="DP39" s="432">
        <v>2.4500000000000002</v>
      </c>
      <c r="DQ39" s="432">
        <v>2.4500000000000002</v>
      </c>
      <c r="DR39" s="432">
        <v>2.4500000000000002</v>
      </c>
      <c r="DS39" s="432">
        <v>2.4500000000000002</v>
      </c>
      <c r="DT39" s="432">
        <v>2.4500000000000002</v>
      </c>
      <c r="DU39" s="432">
        <v>2.4500000000000002</v>
      </c>
      <c r="DV39" s="432">
        <v>2.4500000000000002</v>
      </c>
      <c r="DW39" s="432">
        <v>2.4500000000000002</v>
      </c>
      <c r="DX39" s="432">
        <v>2.4500000000000002</v>
      </c>
      <c r="DY39" s="432">
        <v>2.4500000000000002</v>
      </c>
      <c r="DZ39" s="432">
        <v>2.4500000000000002</v>
      </c>
      <c r="EA39" s="432">
        <v>2.4500000000000002</v>
      </c>
      <c r="EB39" s="432">
        <v>2.4500000000000002</v>
      </c>
      <c r="EC39" s="432">
        <v>2.4500000000000002</v>
      </c>
      <c r="ED39" s="432">
        <v>2.4500000000000002</v>
      </c>
      <c r="EE39" s="432">
        <v>2.4500000000000002</v>
      </c>
      <c r="EF39" s="432">
        <v>2.4500000000000002</v>
      </c>
      <c r="EG39" s="432">
        <v>2.4500000000000002</v>
      </c>
      <c r="EH39" s="432">
        <v>2.4500000000000002</v>
      </c>
      <c r="EI39" s="432">
        <v>2.4500000000000002</v>
      </c>
      <c r="EJ39" s="432">
        <v>2.4500000000000002</v>
      </c>
      <c r="EK39" s="432">
        <v>2.4500000000000002</v>
      </c>
      <c r="EL39" s="432">
        <v>2.4500000000000002</v>
      </c>
      <c r="EM39" s="432">
        <v>2.4500000000000002</v>
      </c>
      <c r="EN39" s="432">
        <v>2.4500000000000002</v>
      </c>
      <c r="EO39" s="432">
        <v>2.4500000000000002</v>
      </c>
      <c r="EP39" s="432">
        <v>2.4500000000000002</v>
      </c>
      <c r="EQ39" s="432">
        <v>2.4500000000000002</v>
      </c>
      <c r="ER39" s="432">
        <v>2.4500000000000002</v>
      </c>
      <c r="ES39" s="432">
        <v>2.4500000000000002</v>
      </c>
      <c r="ET39" s="432">
        <v>2.4500000000000002</v>
      </c>
      <c r="EU39" s="432">
        <v>2.4500000000000002</v>
      </c>
      <c r="EV39" s="432">
        <v>2.4500000000000002</v>
      </c>
      <c r="EW39" s="432">
        <v>2.4500000000000002</v>
      </c>
      <c r="EX39" s="432">
        <v>2.4500000000000002</v>
      </c>
      <c r="EY39" s="432">
        <v>2.4500000000000002</v>
      </c>
      <c r="EZ39" s="432">
        <v>2.4500000000000002</v>
      </c>
      <c r="FA39" s="432">
        <v>2.4500000000000002</v>
      </c>
      <c r="FB39" s="432">
        <v>2.4500000000000002</v>
      </c>
      <c r="FC39" s="432">
        <v>2.4500000000000002</v>
      </c>
      <c r="FD39" s="432">
        <v>2.4500000000000002</v>
      </c>
      <c r="FE39" s="432">
        <v>2.4500000000000002</v>
      </c>
      <c r="FF39" s="432">
        <v>2.4500000000000002</v>
      </c>
      <c r="FG39" s="432">
        <v>2.4500000000000002</v>
      </c>
      <c r="FH39" s="432">
        <v>2.4500000000000002</v>
      </c>
      <c r="FI39" s="432">
        <v>2.4500000000000002</v>
      </c>
      <c r="FJ39" s="432">
        <v>2.4500000000000002</v>
      </c>
      <c r="FK39" s="432">
        <v>2.4500000000000002</v>
      </c>
      <c r="FL39" s="432">
        <v>2.4500000000000002</v>
      </c>
      <c r="FM39" s="432">
        <v>2.4500000000000002</v>
      </c>
      <c r="FN39" s="432">
        <v>2.4500000000000002</v>
      </c>
      <c r="FO39" s="432">
        <v>2.4500000000000002</v>
      </c>
      <c r="FP39" s="432">
        <v>2.4500000000000002</v>
      </c>
      <c r="FQ39" s="432">
        <v>2.4500000000000002</v>
      </c>
      <c r="FR39" s="432">
        <v>2.4500000000000002</v>
      </c>
      <c r="FS39" s="432">
        <v>2.4500000000000002</v>
      </c>
      <c r="FT39" s="432">
        <v>2.4500000000000002</v>
      </c>
      <c r="FU39" s="432">
        <v>2.4500000000000002</v>
      </c>
      <c r="FV39" s="271">
        <f t="shared" si="28"/>
        <v>2.450000000000002</v>
      </c>
      <c r="FW39" s="312"/>
    </row>
    <row r="40" spans="1:179">
      <c r="A40" s="1074"/>
      <c r="B40" s="398" t="s">
        <v>307</v>
      </c>
      <c r="C40" s="399" t="s">
        <v>148</v>
      </c>
      <c r="D40" s="399">
        <v>2.8000000000000001E-2</v>
      </c>
      <c r="E40" s="1066"/>
      <c r="F40" s="433" t="s">
        <v>325</v>
      </c>
      <c r="G40" s="423">
        <f t="shared" ref="G40:BR40" si="39">$D$40*G16</f>
        <v>3203.7786666666666</v>
      </c>
      <c r="H40" s="423">
        <f t="shared" si="39"/>
        <v>3203.7786666666666</v>
      </c>
      <c r="I40" s="423">
        <f t="shared" si="39"/>
        <v>3203.7786666666666</v>
      </c>
      <c r="J40" s="423">
        <f t="shared" si="39"/>
        <v>3203.7786666666666</v>
      </c>
      <c r="K40" s="423">
        <f t="shared" si="39"/>
        <v>3203.7786666666666</v>
      </c>
      <c r="L40" s="423">
        <f t="shared" si="39"/>
        <v>3203.7786666666666</v>
      </c>
      <c r="M40" s="423">
        <f t="shared" si="39"/>
        <v>3203.7786666666666</v>
      </c>
      <c r="N40" s="423">
        <f t="shared" si="39"/>
        <v>3203.7786666666666</v>
      </c>
      <c r="O40" s="423">
        <f t="shared" si="39"/>
        <v>3203.7786666666666</v>
      </c>
      <c r="P40" s="423">
        <f t="shared" si="39"/>
        <v>3203.7786666666666</v>
      </c>
      <c r="Q40" s="423">
        <f t="shared" si="39"/>
        <v>3203.7786666666666</v>
      </c>
      <c r="R40" s="423">
        <f t="shared" si="39"/>
        <v>3203.7786666666666</v>
      </c>
      <c r="S40" s="423">
        <f t="shared" si="39"/>
        <v>3203.7786666666666</v>
      </c>
      <c r="T40" s="423">
        <f t="shared" si="39"/>
        <v>3203.7786666666666</v>
      </c>
      <c r="U40" s="423">
        <f t="shared" si="39"/>
        <v>3203.7786666666666</v>
      </c>
      <c r="V40" s="423">
        <f t="shared" si="39"/>
        <v>3203.7786666666666</v>
      </c>
      <c r="W40" s="423">
        <f t="shared" si="39"/>
        <v>3203.7786666666666</v>
      </c>
      <c r="X40" s="423">
        <f t="shared" si="39"/>
        <v>3203.7786666666666</v>
      </c>
      <c r="Y40" s="423">
        <f t="shared" si="39"/>
        <v>3203.7786666666666</v>
      </c>
      <c r="Z40" s="423">
        <f t="shared" si="39"/>
        <v>3203.7786666666666</v>
      </c>
      <c r="AA40" s="423">
        <f t="shared" si="39"/>
        <v>3203.7786666666666</v>
      </c>
      <c r="AB40" s="423">
        <f t="shared" si="39"/>
        <v>3203.7786666666666</v>
      </c>
      <c r="AC40" s="423">
        <f t="shared" si="39"/>
        <v>3203.7786666666666</v>
      </c>
      <c r="AD40" s="423">
        <f t="shared" si="39"/>
        <v>3203.7786666666666</v>
      </c>
      <c r="AE40" s="423">
        <f t="shared" si="39"/>
        <v>3203.7786666666666</v>
      </c>
      <c r="AF40" s="423">
        <f t="shared" si="39"/>
        <v>3203.7786666666666</v>
      </c>
      <c r="AG40" s="423">
        <f t="shared" si="39"/>
        <v>3203.7786666666666</v>
      </c>
      <c r="AH40" s="423">
        <f t="shared" si="39"/>
        <v>3203.7786666666666</v>
      </c>
      <c r="AI40" s="423">
        <f t="shared" si="39"/>
        <v>3203.7786666666666</v>
      </c>
      <c r="AJ40" s="423">
        <f t="shared" si="39"/>
        <v>3203.7786666666666</v>
      </c>
      <c r="AK40" s="423">
        <f t="shared" si="39"/>
        <v>3203.7786666666666</v>
      </c>
      <c r="AL40" s="423">
        <f t="shared" si="39"/>
        <v>3203.7786666666666</v>
      </c>
      <c r="AM40" s="423">
        <f t="shared" si="39"/>
        <v>3203.7786666666666</v>
      </c>
      <c r="AN40" s="423">
        <f t="shared" si="39"/>
        <v>3203.7786666666666</v>
      </c>
      <c r="AO40" s="423">
        <f t="shared" si="39"/>
        <v>3203.7786666666666</v>
      </c>
      <c r="AP40" s="423">
        <f t="shared" si="39"/>
        <v>3203.7786666666666</v>
      </c>
      <c r="AQ40" s="423">
        <f t="shared" si="39"/>
        <v>3203.7786666666666</v>
      </c>
      <c r="AR40" s="423">
        <f t="shared" si="39"/>
        <v>3203.7786666666666</v>
      </c>
      <c r="AS40" s="423">
        <f t="shared" si="39"/>
        <v>3203.7786666666666</v>
      </c>
      <c r="AT40" s="423">
        <f t="shared" si="39"/>
        <v>3203.7786666666666</v>
      </c>
      <c r="AU40" s="424">
        <f t="shared" si="39"/>
        <v>3203.7786666666666</v>
      </c>
      <c r="AV40" s="424">
        <f t="shared" si="39"/>
        <v>3203.7786666666666</v>
      </c>
      <c r="AW40" s="424">
        <f t="shared" si="39"/>
        <v>3203.7786666666666</v>
      </c>
      <c r="AX40" s="424">
        <f t="shared" si="39"/>
        <v>3203.7786666666666</v>
      </c>
      <c r="AY40" s="424">
        <f t="shared" si="39"/>
        <v>3203.7786666666666</v>
      </c>
      <c r="AZ40" s="424">
        <f t="shared" si="39"/>
        <v>3203.7786666666666</v>
      </c>
      <c r="BA40" s="424">
        <f t="shared" si="39"/>
        <v>3203.7786666666666</v>
      </c>
      <c r="BB40" s="424">
        <f t="shared" si="39"/>
        <v>3203.7786666666666</v>
      </c>
      <c r="BC40" s="424">
        <f t="shared" si="39"/>
        <v>3203.7786666666666</v>
      </c>
      <c r="BD40" s="424">
        <f t="shared" si="39"/>
        <v>3203.7786666666666</v>
      </c>
      <c r="BE40" s="424">
        <f t="shared" si="39"/>
        <v>3203.7786666666666</v>
      </c>
      <c r="BF40" s="424">
        <f t="shared" si="39"/>
        <v>3203.7786666666666</v>
      </c>
      <c r="BG40" s="424">
        <f t="shared" si="39"/>
        <v>3203.7786666666666</v>
      </c>
      <c r="BH40" s="424">
        <f t="shared" si="39"/>
        <v>3203.7786666666666</v>
      </c>
      <c r="BI40" s="424">
        <f t="shared" si="39"/>
        <v>3203.7786666666666</v>
      </c>
      <c r="BJ40" s="424">
        <f t="shared" si="39"/>
        <v>3203.7786666666666</v>
      </c>
      <c r="BK40" s="424">
        <f t="shared" si="39"/>
        <v>3203.7786666666666</v>
      </c>
      <c r="BL40" s="424">
        <f t="shared" si="39"/>
        <v>3203.7786666666666</v>
      </c>
      <c r="BM40" s="424">
        <f t="shared" si="39"/>
        <v>3203.7786666666666</v>
      </c>
      <c r="BN40" s="424">
        <f t="shared" si="39"/>
        <v>3203.7786666666666</v>
      </c>
      <c r="BO40" s="424">
        <f t="shared" si="39"/>
        <v>3203.7786666666666</v>
      </c>
      <c r="BP40" s="424">
        <f t="shared" si="39"/>
        <v>3203.7786666666666</v>
      </c>
      <c r="BQ40" s="424">
        <f t="shared" si="39"/>
        <v>3203.7786666666666</v>
      </c>
      <c r="BR40" s="424">
        <f t="shared" si="39"/>
        <v>3203.7786666666666</v>
      </c>
      <c r="BS40" s="424">
        <f t="shared" ref="BS40:CL40" si="40">$D$40*BS16</f>
        <v>3203.7786666666666</v>
      </c>
      <c r="BT40" s="424">
        <f t="shared" si="40"/>
        <v>3203.7786666666666</v>
      </c>
      <c r="BU40" s="424">
        <f t="shared" si="40"/>
        <v>3203.7786666666666</v>
      </c>
      <c r="BV40" s="424">
        <f t="shared" si="40"/>
        <v>3203.7786666666666</v>
      </c>
      <c r="BW40" s="424">
        <f t="shared" si="40"/>
        <v>3203.7786666666666</v>
      </c>
      <c r="BX40" s="424">
        <f t="shared" si="40"/>
        <v>3203.7786666666666</v>
      </c>
      <c r="BY40" s="424">
        <f t="shared" si="40"/>
        <v>3203.7786666666666</v>
      </c>
      <c r="BZ40" s="424">
        <f t="shared" si="40"/>
        <v>3203.7786666666666</v>
      </c>
      <c r="CA40" s="424">
        <f t="shared" si="40"/>
        <v>3203.7786666666666</v>
      </c>
      <c r="CB40" s="424">
        <f t="shared" si="40"/>
        <v>3203.7786666666666</v>
      </c>
      <c r="CC40" s="424">
        <f t="shared" si="40"/>
        <v>3203.7786666666666</v>
      </c>
      <c r="CD40" s="424">
        <f t="shared" si="40"/>
        <v>3203.7786666666666</v>
      </c>
      <c r="CE40" s="424">
        <f t="shared" si="40"/>
        <v>3203.7786666666666</v>
      </c>
      <c r="CF40" s="424">
        <f t="shared" si="40"/>
        <v>3203.7786666666666</v>
      </c>
      <c r="CG40" s="424">
        <f t="shared" si="40"/>
        <v>3203.7786666666666</v>
      </c>
      <c r="CH40" s="424">
        <f t="shared" si="40"/>
        <v>3203.7786666666666</v>
      </c>
      <c r="CI40" s="424">
        <f t="shared" si="40"/>
        <v>3203.7786666666666</v>
      </c>
      <c r="CJ40" s="424">
        <f t="shared" si="40"/>
        <v>3203.7786666666666</v>
      </c>
      <c r="CK40" s="424">
        <f t="shared" si="40"/>
        <v>3203.7786666666666</v>
      </c>
      <c r="CL40" s="422">
        <f t="shared" si="40"/>
        <v>3203.7786666666666</v>
      </c>
      <c r="CM40" s="397">
        <f t="shared" si="27"/>
        <v>3203.7786666666721</v>
      </c>
      <c r="CN40" s="431" t="s">
        <v>221</v>
      </c>
      <c r="CO40" s="432">
        <v>752</v>
      </c>
      <c r="CP40" s="432">
        <v>752</v>
      </c>
      <c r="CQ40" s="432">
        <v>752</v>
      </c>
      <c r="CR40" s="432">
        <v>752</v>
      </c>
      <c r="CS40" s="432">
        <v>752</v>
      </c>
      <c r="CT40" s="432">
        <v>752</v>
      </c>
      <c r="CU40" s="432">
        <v>752</v>
      </c>
      <c r="CV40" s="432">
        <v>752</v>
      </c>
      <c r="CW40" s="432">
        <v>752</v>
      </c>
      <c r="CX40" s="432">
        <v>752</v>
      </c>
      <c r="CY40" s="432">
        <v>752</v>
      </c>
      <c r="CZ40" s="432">
        <v>752</v>
      </c>
      <c r="DA40" s="432">
        <v>752</v>
      </c>
      <c r="DB40" s="432">
        <v>752</v>
      </c>
      <c r="DC40" s="432">
        <v>752</v>
      </c>
      <c r="DD40" s="432">
        <v>752</v>
      </c>
      <c r="DE40" s="432">
        <v>752</v>
      </c>
      <c r="DF40" s="432">
        <v>752</v>
      </c>
      <c r="DG40" s="432">
        <v>752</v>
      </c>
      <c r="DH40" s="432">
        <v>752</v>
      </c>
      <c r="DI40" s="432">
        <v>752</v>
      </c>
      <c r="DJ40" s="432">
        <v>752</v>
      </c>
      <c r="DK40" s="432">
        <v>752</v>
      </c>
      <c r="DL40" s="432">
        <v>752</v>
      </c>
      <c r="DM40" s="432">
        <v>752</v>
      </c>
      <c r="DN40" s="432">
        <v>752</v>
      </c>
      <c r="DO40" s="432">
        <v>752</v>
      </c>
      <c r="DP40" s="432">
        <v>752</v>
      </c>
      <c r="DQ40" s="432">
        <v>752</v>
      </c>
      <c r="DR40" s="432">
        <v>752</v>
      </c>
      <c r="DS40" s="432">
        <v>752</v>
      </c>
      <c r="DT40" s="432">
        <v>752</v>
      </c>
      <c r="DU40" s="432">
        <v>752</v>
      </c>
      <c r="DV40" s="432">
        <v>752</v>
      </c>
      <c r="DW40" s="432">
        <v>752</v>
      </c>
      <c r="DX40" s="432">
        <v>752</v>
      </c>
      <c r="DY40" s="432">
        <v>752</v>
      </c>
      <c r="DZ40" s="432">
        <v>752</v>
      </c>
      <c r="EA40" s="432">
        <v>752</v>
      </c>
      <c r="EB40" s="432">
        <v>752</v>
      </c>
      <c r="EC40" s="432">
        <v>752</v>
      </c>
      <c r="ED40" s="432">
        <v>752</v>
      </c>
      <c r="EE40" s="432">
        <v>752</v>
      </c>
      <c r="EF40" s="432">
        <v>752</v>
      </c>
      <c r="EG40" s="432">
        <v>752</v>
      </c>
      <c r="EH40" s="432">
        <v>752</v>
      </c>
      <c r="EI40" s="432">
        <v>752</v>
      </c>
      <c r="EJ40" s="432">
        <v>752</v>
      </c>
      <c r="EK40" s="432">
        <v>752</v>
      </c>
      <c r="EL40" s="432">
        <v>752</v>
      </c>
      <c r="EM40" s="432">
        <v>752</v>
      </c>
      <c r="EN40" s="432">
        <v>752</v>
      </c>
      <c r="EO40" s="432">
        <v>752</v>
      </c>
      <c r="EP40" s="432">
        <v>752</v>
      </c>
      <c r="EQ40" s="432">
        <v>752</v>
      </c>
      <c r="ER40" s="432">
        <v>752</v>
      </c>
      <c r="ES40" s="432">
        <v>752</v>
      </c>
      <c r="ET40" s="432">
        <v>752</v>
      </c>
      <c r="EU40" s="432">
        <v>752</v>
      </c>
      <c r="EV40" s="432">
        <v>752</v>
      </c>
      <c r="EW40" s="432">
        <v>752</v>
      </c>
      <c r="EX40" s="432">
        <v>752</v>
      </c>
      <c r="EY40" s="432">
        <v>752</v>
      </c>
      <c r="EZ40" s="432">
        <v>752</v>
      </c>
      <c r="FA40" s="432">
        <v>752</v>
      </c>
      <c r="FB40" s="432">
        <v>752</v>
      </c>
      <c r="FC40" s="432">
        <v>752</v>
      </c>
      <c r="FD40" s="432">
        <v>752</v>
      </c>
      <c r="FE40" s="432">
        <v>752</v>
      </c>
      <c r="FF40" s="432">
        <v>752</v>
      </c>
      <c r="FG40" s="432">
        <v>752</v>
      </c>
      <c r="FH40" s="432">
        <v>752</v>
      </c>
      <c r="FI40" s="432">
        <v>752</v>
      </c>
      <c r="FJ40" s="432">
        <v>752</v>
      </c>
      <c r="FK40" s="432">
        <v>752</v>
      </c>
      <c r="FL40" s="432">
        <v>752</v>
      </c>
      <c r="FM40" s="432">
        <v>752</v>
      </c>
      <c r="FN40" s="432">
        <v>752</v>
      </c>
      <c r="FO40" s="432">
        <v>752</v>
      </c>
      <c r="FP40" s="432">
        <v>752</v>
      </c>
      <c r="FQ40" s="432">
        <v>752</v>
      </c>
      <c r="FR40" s="432">
        <v>752</v>
      </c>
      <c r="FS40" s="432">
        <v>752</v>
      </c>
      <c r="FT40" s="432">
        <v>752</v>
      </c>
      <c r="FU40" s="432">
        <v>752</v>
      </c>
      <c r="FV40" s="271">
        <f t="shared" si="28"/>
        <v>752</v>
      </c>
      <c r="FW40" s="312"/>
    </row>
    <row r="41" spans="1:179">
      <c r="A41" s="434"/>
      <c r="B41" s="435" t="s">
        <v>307</v>
      </c>
      <c r="C41" s="436" t="s">
        <v>326</v>
      </c>
      <c r="D41" s="436"/>
      <c r="E41" s="437"/>
      <c r="F41" s="438" t="s">
        <v>327</v>
      </c>
      <c r="G41" s="439">
        <f t="shared" ref="G41:BR41" si="41">G34*CP35+G36*CP36+G37*CP34+G38*CP37+G35*CP38+CP39*G39+G40*CP40</f>
        <v>596656258.48307002</v>
      </c>
      <c r="H41" s="439">
        <f t="shared" si="41"/>
        <v>596656258.48307002</v>
      </c>
      <c r="I41" s="439">
        <f t="shared" si="41"/>
        <v>596656258.48307002</v>
      </c>
      <c r="J41" s="439">
        <f t="shared" si="41"/>
        <v>596658180.75027001</v>
      </c>
      <c r="K41" s="439">
        <f t="shared" si="41"/>
        <v>597103849.24693668</v>
      </c>
      <c r="L41" s="439">
        <f t="shared" si="41"/>
        <v>597104490.00267005</v>
      </c>
      <c r="M41" s="439">
        <f t="shared" si="41"/>
        <v>597104490.00267005</v>
      </c>
      <c r="N41" s="439">
        <f t="shared" si="41"/>
        <v>598356231.16795301</v>
      </c>
      <c r="O41" s="439">
        <f t="shared" si="41"/>
        <v>597105130.75840342</v>
      </c>
      <c r="P41" s="439">
        <f t="shared" si="41"/>
        <v>598358634.00195301</v>
      </c>
      <c r="Q41" s="439">
        <f t="shared" si="41"/>
        <v>599609734.41150451</v>
      </c>
      <c r="R41" s="439">
        <f t="shared" si="41"/>
        <v>600860834.82105601</v>
      </c>
      <c r="S41" s="439">
        <f t="shared" si="41"/>
        <v>602112575.98633885</v>
      </c>
      <c r="T41" s="439">
        <f t="shared" si="41"/>
        <v>603365834.54621768</v>
      </c>
      <c r="U41" s="439">
        <f t="shared" si="41"/>
        <v>604617167.45126557</v>
      </c>
      <c r="V41" s="439">
        <f t="shared" si="41"/>
        <v>605970999.53958595</v>
      </c>
      <c r="W41" s="439">
        <f t="shared" si="41"/>
        <v>607184960.28433883</v>
      </c>
      <c r="X41" s="439">
        <f t="shared" si="41"/>
        <v>608398921.02909005</v>
      </c>
      <c r="Y41" s="439">
        <f t="shared" si="41"/>
        <v>609612881.77384305</v>
      </c>
      <c r="Z41" s="439">
        <f t="shared" si="41"/>
        <v>610826842.51859605</v>
      </c>
      <c r="AA41" s="439">
        <f t="shared" si="41"/>
        <v>612040803.26334727</v>
      </c>
      <c r="AB41" s="439">
        <f t="shared" si="41"/>
        <v>613254764.00810027</v>
      </c>
      <c r="AC41" s="439">
        <f t="shared" si="41"/>
        <v>614468724.75285327</v>
      </c>
      <c r="AD41" s="439">
        <f t="shared" si="41"/>
        <v>615682685.49760449</v>
      </c>
      <c r="AE41" s="439">
        <f t="shared" si="41"/>
        <v>616898338.19890332</v>
      </c>
      <c r="AF41" s="439">
        <f t="shared" si="41"/>
        <v>618110606.98710859</v>
      </c>
      <c r="AG41" s="439">
        <f t="shared" si="41"/>
        <v>619324993.75274801</v>
      </c>
      <c r="AH41" s="439">
        <f t="shared" si="41"/>
        <v>620538528.47661471</v>
      </c>
      <c r="AI41" s="439">
        <f t="shared" si="41"/>
        <v>621752489.22136581</v>
      </c>
      <c r="AJ41" s="439">
        <f t="shared" si="41"/>
        <v>622966449.96611881</v>
      </c>
      <c r="AK41" s="439">
        <f t="shared" si="41"/>
        <v>624180410.71087182</v>
      </c>
      <c r="AL41" s="439">
        <f t="shared" si="41"/>
        <v>625394371.45562291</v>
      </c>
      <c r="AM41" s="439">
        <f t="shared" si="41"/>
        <v>626608332.20037591</v>
      </c>
      <c r="AN41" s="439">
        <f t="shared" si="41"/>
        <v>627822292.94512713</v>
      </c>
      <c r="AO41" s="439">
        <f t="shared" si="41"/>
        <v>629036253.68988013</v>
      </c>
      <c r="AP41" s="439">
        <f t="shared" si="41"/>
        <v>630250214.43463314</v>
      </c>
      <c r="AQ41" s="439">
        <f t="shared" si="41"/>
        <v>631464175.17938435</v>
      </c>
      <c r="AR41" s="439">
        <f t="shared" si="41"/>
        <v>632678135.92413735</v>
      </c>
      <c r="AS41" s="439">
        <f t="shared" si="41"/>
        <v>633892096.66889036</v>
      </c>
      <c r="AT41" s="439">
        <f t="shared" si="41"/>
        <v>496551939.23666668</v>
      </c>
      <c r="AU41" s="440">
        <f t="shared" si="41"/>
        <v>604882051.02700007</v>
      </c>
      <c r="AV41" s="440">
        <f t="shared" si="41"/>
        <v>608097170.28598917</v>
      </c>
      <c r="AW41" s="440">
        <f t="shared" si="41"/>
        <v>587485736.12551749</v>
      </c>
      <c r="AX41" s="440">
        <f t="shared" si="41"/>
        <v>638052680.82726669</v>
      </c>
      <c r="AY41" s="440">
        <f t="shared" si="41"/>
        <v>691431417.57635081</v>
      </c>
      <c r="AZ41" s="440">
        <f t="shared" si="41"/>
        <v>706762765.7755214</v>
      </c>
      <c r="BA41" s="440">
        <f t="shared" si="41"/>
        <v>716527118.24002469</v>
      </c>
      <c r="BB41" s="440">
        <f t="shared" si="41"/>
        <v>705631981.07398736</v>
      </c>
      <c r="BC41" s="440">
        <f t="shared" si="41"/>
        <v>755808823.44955599</v>
      </c>
      <c r="BD41" s="440">
        <f t="shared" si="41"/>
        <v>715504399.1485126</v>
      </c>
      <c r="BE41" s="440">
        <f t="shared" si="41"/>
        <v>673765363.35763848</v>
      </c>
      <c r="BF41" s="440">
        <f t="shared" si="41"/>
        <v>666703442.28401363</v>
      </c>
      <c r="BG41" s="440">
        <f t="shared" si="41"/>
        <v>719040729.77666736</v>
      </c>
      <c r="BH41" s="440">
        <f t="shared" si="41"/>
        <v>646861327.37493384</v>
      </c>
      <c r="BI41" s="440">
        <f t="shared" si="41"/>
        <v>577517344.43789601</v>
      </c>
      <c r="BJ41" s="440">
        <f t="shared" si="41"/>
        <v>565390410.12479997</v>
      </c>
      <c r="BK41" s="440">
        <f t="shared" si="41"/>
        <v>597609095.86546659</v>
      </c>
      <c r="BL41" s="440">
        <f t="shared" si="41"/>
        <v>645645008.51446664</v>
      </c>
      <c r="BM41" s="440">
        <f t="shared" si="41"/>
        <v>596333534.27346671</v>
      </c>
      <c r="BN41" s="440">
        <f t="shared" si="41"/>
        <v>579247851.29653323</v>
      </c>
      <c r="BO41" s="440">
        <f t="shared" si="41"/>
        <v>681599895.16793323</v>
      </c>
      <c r="BP41" s="440">
        <f t="shared" si="41"/>
        <v>670370868.34053338</v>
      </c>
      <c r="BQ41" s="440">
        <f t="shared" si="41"/>
        <v>732009167.05319989</v>
      </c>
      <c r="BR41" s="440">
        <f t="shared" si="41"/>
        <v>634288631.48506665</v>
      </c>
      <c r="BS41" s="440">
        <f t="shared" ref="BS41:CL41" si="42">BS34*FB35+BS36*FB36+BS37*FB34+BS38*FB37+BS35*FB38+FB39*BS39+BS40*FB40</f>
        <v>610125984.50653338</v>
      </c>
      <c r="BT41" s="440">
        <f t="shared" si="42"/>
        <v>453097327.10240006</v>
      </c>
      <c r="BU41" s="440">
        <f t="shared" si="42"/>
        <v>544447263.21253335</v>
      </c>
      <c r="BV41" s="440">
        <f t="shared" si="42"/>
        <v>522098916.09293342</v>
      </c>
      <c r="BW41" s="440">
        <f t="shared" si="42"/>
        <v>395262050.97186667</v>
      </c>
      <c r="BX41" s="440">
        <f t="shared" si="42"/>
        <v>380175571.6512</v>
      </c>
      <c r="BY41" s="440">
        <f t="shared" si="42"/>
        <v>433936282.07346666</v>
      </c>
      <c r="BZ41" s="440">
        <f t="shared" si="42"/>
        <v>498987508.98940003</v>
      </c>
      <c r="CA41" s="440">
        <f t="shared" si="42"/>
        <v>521025798.98646665</v>
      </c>
      <c r="CB41" s="440">
        <f t="shared" si="42"/>
        <v>568085897.86393332</v>
      </c>
      <c r="CC41" s="440">
        <f t="shared" si="42"/>
        <v>609281445.56586671</v>
      </c>
      <c r="CD41" s="440">
        <f t="shared" si="42"/>
        <v>691496767.94159997</v>
      </c>
      <c r="CE41" s="440">
        <f t="shared" si="42"/>
        <v>802986057.22273326</v>
      </c>
      <c r="CF41" s="440">
        <f t="shared" si="42"/>
        <v>718990040.33786666</v>
      </c>
      <c r="CG41" s="440">
        <f t="shared" si="42"/>
        <v>611873073.66586661</v>
      </c>
      <c r="CH41" s="440">
        <f t="shared" si="42"/>
        <v>606309380.19126666</v>
      </c>
      <c r="CI41" s="440">
        <f t="shared" si="42"/>
        <v>655835107.13059986</v>
      </c>
      <c r="CJ41" s="440">
        <f t="shared" si="42"/>
        <v>731702199.28866673</v>
      </c>
      <c r="CK41" s="440">
        <f t="shared" si="42"/>
        <v>834454475.20999992</v>
      </c>
      <c r="CL41" s="441">
        <f t="shared" si="42"/>
        <v>896056456.80306661</v>
      </c>
      <c r="CM41" s="442">
        <f t="shared" si="27"/>
        <v>620952756.64289117</v>
      </c>
      <c r="CN41" s="443" t="s">
        <v>181</v>
      </c>
      <c r="CO41" s="444">
        <f t="shared" ref="CO41:EB41" si="43">0.75*CO36</f>
        <v>27.734853846153825</v>
      </c>
      <c r="CP41" s="444">
        <f t="shared" si="43"/>
        <v>27.734853846153825</v>
      </c>
      <c r="CQ41" s="444">
        <f t="shared" si="43"/>
        <v>27.734853846153825</v>
      </c>
      <c r="CR41" s="444">
        <f t="shared" si="43"/>
        <v>27.734853846153825</v>
      </c>
      <c r="CS41" s="444">
        <f t="shared" si="43"/>
        <v>27.734853846153825</v>
      </c>
      <c r="CT41" s="444">
        <f t="shared" si="43"/>
        <v>27.734853846153825</v>
      </c>
      <c r="CU41" s="444">
        <f t="shared" si="43"/>
        <v>27.734853846153825</v>
      </c>
      <c r="CV41" s="444">
        <f t="shared" si="43"/>
        <v>27.734853846153825</v>
      </c>
      <c r="CW41" s="444">
        <f t="shared" si="43"/>
        <v>28.317217948717946</v>
      </c>
      <c r="CX41" s="444">
        <f t="shared" si="43"/>
        <v>27.734853846153825</v>
      </c>
      <c r="CY41" s="444">
        <f t="shared" si="43"/>
        <v>28.317217948717946</v>
      </c>
      <c r="CZ41" s="444">
        <f t="shared" si="43"/>
        <v>28.899582051282074</v>
      </c>
      <c r="DA41" s="444">
        <f t="shared" si="43"/>
        <v>29.481946153846124</v>
      </c>
      <c r="DB41" s="444">
        <f t="shared" si="43"/>
        <v>30.064310256410252</v>
      </c>
      <c r="DC41" s="444">
        <f t="shared" si="43"/>
        <v>30.646674358974373</v>
      </c>
      <c r="DD41" s="444">
        <f t="shared" si="43"/>
        <v>31.229038461538501</v>
      </c>
      <c r="DE41" s="444">
        <f t="shared" si="43"/>
        <v>31.811402564102551</v>
      </c>
      <c r="DF41" s="444">
        <f t="shared" si="43"/>
        <v>32.393766666666671</v>
      </c>
      <c r="DG41" s="444">
        <f t="shared" si="43"/>
        <v>32.976130769230799</v>
      </c>
      <c r="DH41" s="444">
        <f t="shared" si="43"/>
        <v>33.558494871794849</v>
      </c>
      <c r="DI41" s="444">
        <f t="shared" si="43"/>
        <v>34.140858974358977</v>
      </c>
      <c r="DJ41" s="444">
        <f t="shared" si="43"/>
        <v>34.723223076923098</v>
      </c>
      <c r="DK41" s="444">
        <f t="shared" si="43"/>
        <v>35.305587179487148</v>
      </c>
      <c r="DL41" s="444">
        <f t="shared" si="43"/>
        <v>35.887951282051276</v>
      </c>
      <c r="DM41" s="444">
        <f t="shared" si="43"/>
        <v>36.470315384615397</v>
      </c>
      <c r="DN41" s="444">
        <f t="shared" si="43"/>
        <v>37.052679487179525</v>
      </c>
      <c r="DO41" s="444">
        <f t="shared" si="43"/>
        <v>37.635043589743574</v>
      </c>
      <c r="DP41" s="444">
        <f t="shared" si="43"/>
        <v>38.217407692307702</v>
      </c>
      <c r="DQ41" s="444">
        <f t="shared" si="43"/>
        <v>38.799771794871823</v>
      </c>
      <c r="DR41" s="444">
        <f t="shared" si="43"/>
        <v>39.382135897435873</v>
      </c>
      <c r="DS41" s="444">
        <f t="shared" si="43"/>
        <v>39.964500000000001</v>
      </c>
      <c r="DT41" s="444">
        <f t="shared" si="43"/>
        <v>40.546864102564122</v>
      </c>
      <c r="DU41" s="444">
        <f t="shared" si="43"/>
        <v>41.129228205128179</v>
      </c>
      <c r="DV41" s="444">
        <f t="shared" si="43"/>
        <v>41.7115923076923</v>
      </c>
      <c r="DW41" s="444">
        <f t="shared" si="43"/>
        <v>42.293956410256428</v>
      </c>
      <c r="DX41" s="444">
        <f t="shared" si="43"/>
        <v>42.876320512820548</v>
      </c>
      <c r="DY41" s="444">
        <f t="shared" si="43"/>
        <v>43.458684615384598</v>
      </c>
      <c r="DZ41" s="444">
        <f t="shared" si="43"/>
        <v>44.041048717948726</v>
      </c>
      <c r="EA41" s="444">
        <f t="shared" si="43"/>
        <v>44.623412820512847</v>
      </c>
      <c r="EB41" s="444">
        <f t="shared" si="43"/>
        <v>45.205776923076904</v>
      </c>
      <c r="EC41" s="444">
        <f>0.75*EC36</f>
        <v>42.075000000000003</v>
      </c>
      <c r="ED41" s="444">
        <f t="shared" ref="ED41:FU41" si="44">0.75*ED36</f>
        <v>43.2</v>
      </c>
      <c r="EE41" s="444">
        <f t="shared" si="44"/>
        <v>41.775000000000006</v>
      </c>
      <c r="EF41" s="444">
        <f t="shared" si="44"/>
        <v>44.962500000000006</v>
      </c>
      <c r="EG41" s="444">
        <f t="shared" si="44"/>
        <v>51.427499999999995</v>
      </c>
      <c r="EH41" s="444">
        <f t="shared" si="44"/>
        <v>59.775000000000006</v>
      </c>
      <c r="EI41" s="444">
        <f t="shared" si="44"/>
        <v>63.757500000000007</v>
      </c>
      <c r="EJ41" s="444">
        <f t="shared" si="44"/>
        <v>55.064999999999998</v>
      </c>
      <c r="EK41" s="444">
        <f t="shared" si="44"/>
        <v>51.1875</v>
      </c>
      <c r="EL41" s="444">
        <f t="shared" si="44"/>
        <v>39.9375</v>
      </c>
      <c r="EM41" s="444">
        <f t="shared" si="44"/>
        <v>49.094999999999999</v>
      </c>
      <c r="EN41" s="444">
        <f t="shared" si="44"/>
        <v>45.697499999999998</v>
      </c>
      <c r="EO41" s="444">
        <f t="shared" si="44"/>
        <v>44.775000000000006</v>
      </c>
      <c r="EP41" s="444">
        <f t="shared" si="44"/>
        <v>44.204999999999998</v>
      </c>
      <c r="EQ41" s="444">
        <f t="shared" si="44"/>
        <v>43.462500000000006</v>
      </c>
      <c r="ER41" s="444">
        <f t="shared" si="44"/>
        <v>58.86</v>
      </c>
      <c r="ES41" s="444">
        <f t="shared" si="44"/>
        <v>61.882500000000007</v>
      </c>
      <c r="ET41" s="444">
        <f t="shared" si="44"/>
        <v>62.699999999999996</v>
      </c>
      <c r="EU41" s="444">
        <f t="shared" si="44"/>
        <v>76.612500000000011</v>
      </c>
      <c r="EV41" s="444">
        <f t="shared" si="44"/>
        <v>55.935000000000002</v>
      </c>
      <c r="EW41" s="444">
        <f t="shared" si="44"/>
        <v>58.837500000000006</v>
      </c>
      <c r="EX41" s="444">
        <f t="shared" si="44"/>
        <v>57.652500000000003</v>
      </c>
      <c r="EY41" s="444">
        <f t="shared" si="44"/>
        <v>61.792500000000004</v>
      </c>
      <c r="EZ41" s="444">
        <f t="shared" si="44"/>
        <v>58.41</v>
      </c>
      <c r="FA41" s="444">
        <f t="shared" si="44"/>
        <v>56.542500000000004</v>
      </c>
      <c r="FB41" s="444">
        <f t="shared" si="44"/>
        <v>50.137499999999996</v>
      </c>
      <c r="FC41" s="444">
        <f t="shared" si="44"/>
        <v>48.435000000000002</v>
      </c>
      <c r="FD41" s="444">
        <f t="shared" si="44"/>
        <v>63.727499999999999</v>
      </c>
      <c r="FE41" s="444">
        <f t="shared" si="44"/>
        <v>58.552499999999995</v>
      </c>
      <c r="FF41" s="444">
        <f t="shared" si="44"/>
        <v>53.377499999999998</v>
      </c>
      <c r="FG41" s="444">
        <f t="shared" si="44"/>
        <v>51.172499999999999</v>
      </c>
      <c r="FH41" s="444">
        <f t="shared" si="44"/>
        <v>51.900000000000006</v>
      </c>
      <c r="FI41" s="444">
        <f t="shared" si="44"/>
        <v>53.37</v>
      </c>
      <c r="FJ41" s="444">
        <f t="shared" si="44"/>
        <v>62.175000000000004</v>
      </c>
      <c r="FK41" s="444">
        <f t="shared" si="44"/>
        <v>66.66</v>
      </c>
      <c r="FL41" s="444">
        <f t="shared" si="44"/>
        <v>60.105000000000004</v>
      </c>
      <c r="FM41" s="444">
        <f t="shared" si="44"/>
        <v>67.072500000000005</v>
      </c>
      <c r="FN41" s="444">
        <f t="shared" si="44"/>
        <v>77.085000000000008</v>
      </c>
      <c r="FO41" s="444">
        <f t="shared" si="44"/>
        <v>76.6875</v>
      </c>
      <c r="FP41" s="444">
        <f t="shared" si="44"/>
        <v>75.239999999999995</v>
      </c>
      <c r="FQ41" s="444">
        <f t="shared" si="44"/>
        <v>61.005000000000003</v>
      </c>
      <c r="FR41" s="444">
        <f t="shared" si="44"/>
        <v>68.002499999999998</v>
      </c>
      <c r="FS41" s="444">
        <f t="shared" si="44"/>
        <v>68.894999999999996</v>
      </c>
      <c r="FT41" s="444">
        <f t="shared" si="44"/>
        <v>71.992499999999993</v>
      </c>
      <c r="FU41" s="444">
        <f t="shared" si="44"/>
        <v>71.212500000000006</v>
      </c>
      <c r="FV41" s="445">
        <f t="shared" si="28"/>
        <v>57.476166666666664</v>
      </c>
      <c r="FW41" s="312"/>
    </row>
    <row r="42" spans="1:179">
      <c r="A42" s="1057" t="s">
        <v>328</v>
      </c>
      <c r="B42" s="286" t="s">
        <v>307</v>
      </c>
      <c r="C42" s="356" t="s">
        <v>326</v>
      </c>
      <c r="D42" s="356"/>
      <c r="E42" s="158">
        <v>58.016529232000003</v>
      </c>
      <c r="F42" s="446" t="s">
        <v>329</v>
      </c>
      <c r="G42" s="447">
        <f t="shared" ref="G42:AS42" si="45">$E$42*G16</f>
        <v>6638289.9524115948</v>
      </c>
      <c r="H42" s="447">
        <f t="shared" si="45"/>
        <v>6638289.9524115948</v>
      </c>
      <c r="I42" s="447">
        <f t="shared" si="45"/>
        <v>6638289.9524115948</v>
      </c>
      <c r="J42" s="447">
        <f t="shared" si="45"/>
        <v>6638289.9524115948</v>
      </c>
      <c r="K42" s="447">
        <f t="shared" si="45"/>
        <v>6638289.9524115948</v>
      </c>
      <c r="L42" s="447">
        <f t="shared" si="45"/>
        <v>6638289.9524115948</v>
      </c>
      <c r="M42" s="447">
        <f t="shared" si="45"/>
        <v>6638289.9524115948</v>
      </c>
      <c r="N42" s="447">
        <f t="shared" si="45"/>
        <v>6638289.9524115948</v>
      </c>
      <c r="O42" s="447">
        <f t="shared" si="45"/>
        <v>6638289.9524115948</v>
      </c>
      <c r="P42" s="447">
        <f t="shared" si="45"/>
        <v>6638289.9524115948</v>
      </c>
      <c r="Q42" s="447">
        <f t="shared" si="45"/>
        <v>6638289.9524115948</v>
      </c>
      <c r="R42" s="447">
        <f t="shared" si="45"/>
        <v>6638289.9524115948</v>
      </c>
      <c r="S42" s="447">
        <f t="shared" si="45"/>
        <v>6638289.9524115948</v>
      </c>
      <c r="T42" s="447">
        <f t="shared" si="45"/>
        <v>6638289.9524115948</v>
      </c>
      <c r="U42" s="447">
        <f t="shared" si="45"/>
        <v>6638289.9524115948</v>
      </c>
      <c r="V42" s="447">
        <f t="shared" si="45"/>
        <v>6638289.9524115948</v>
      </c>
      <c r="W42" s="447">
        <f t="shared" si="45"/>
        <v>6638289.9524115948</v>
      </c>
      <c r="X42" s="447">
        <f t="shared" si="45"/>
        <v>6638289.9524115948</v>
      </c>
      <c r="Y42" s="447">
        <f t="shared" si="45"/>
        <v>6638289.9524115948</v>
      </c>
      <c r="Z42" s="447">
        <f t="shared" si="45"/>
        <v>6638289.9524115948</v>
      </c>
      <c r="AA42" s="447">
        <f t="shared" si="45"/>
        <v>6638289.9524115948</v>
      </c>
      <c r="AB42" s="447">
        <f t="shared" si="45"/>
        <v>6638289.9524115948</v>
      </c>
      <c r="AC42" s="447">
        <f t="shared" si="45"/>
        <v>6638289.9524115948</v>
      </c>
      <c r="AD42" s="447">
        <f t="shared" si="45"/>
        <v>6638289.9524115948</v>
      </c>
      <c r="AE42" s="447">
        <f t="shared" si="45"/>
        <v>6638289.9524115948</v>
      </c>
      <c r="AF42" s="447">
        <f t="shared" si="45"/>
        <v>6638289.9524115948</v>
      </c>
      <c r="AG42" s="447">
        <f t="shared" si="45"/>
        <v>6638289.9524115948</v>
      </c>
      <c r="AH42" s="447">
        <f t="shared" si="45"/>
        <v>6638289.9524115948</v>
      </c>
      <c r="AI42" s="447">
        <f t="shared" si="45"/>
        <v>6638289.9524115948</v>
      </c>
      <c r="AJ42" s="447">
        <f t="shared" si="45"/>
        <v>6638289.9524115948</v>
      </c>
      <c r="AK42" s="447">
        <f t="shared" si="45"/>
        <v>6638289.9524115948</v>
      </c>
      <c r="AL42" s="447">
        <f t="shared" si="45"/>
        <v>6638289.9524115948</v>
      </c>
      <c r="AM42" s="447">
        <f t="shared" si="45"/>
        <v>6638289.9524115948</v>
      </c>
      <c r="AN42" s="447">
        <f t="shared" si="45"/>
        <v>6638289.9524115948</v>
      </c>
      <c r="AO42" s="447">
        <f t="shared" si="45"/>
        <v>6638289.9524115948</v>
      </c>
      <c r="AP42" s="447">
        <f t="shared" si="45"/>
        <v>6638289.9524115948</v>
      </c>
      <c r="AQ42" s="447">
        <f t="shared" si="45"/>
        <v>6638289.9524115948</v>
      </c>
      <c r="AR42" s="447">
        <f t="shared" si="45"/>
        <v>6638289.9524115948</v>
      </c>
      <c r="AS42" s="447">
        <f t="shared" si="45"/>
        <v>6638289.9524115948</v>
      </c>
      <c r="AT42" s="447">
        <f>$E$42*AT16</f>
        <v>6638289.9524115948</v>
      </c>
      <c r="AU42" s="448">
        <f t="shared" ref="AU42:CL42" si="46">$E$42*AU16</f>
        <v>6638289.9524115948</v>
      </c>
      <c r="AV42" s="448">
        <f t="shared" si="46"/>
        <v>6638289.9524115948</v>
      </c>
      <c r="AW42" s="448">
        <f t="shared" si="46"/>
        <v>6638289.9524115948</v>
      </c>
      <c r="AX42" s="448">
        <f t="shared" si="46"/>
        <v>6638289.9524115948</v>
      </c>
      <c r="AY42" s="448">
        <f t="shared" si="46"/>
        <v>6638289.9524115948</v>
      </c>
      <c r="AZ42" s="448">
        <f t="shared" si="46"/>
        <v>6638289.9524115948</v>
      </c>
      <c r="BA42" s="448">
        <f t="shared" si="46"/>
        <v>6638289.9524115948</v>
      </c>
      <c r="BB42" s="448">
        <f t="shared" si="46"/>
        <v>6638289.9524115948</v>
      </c>
      <c r="BC42" s="448">
        <f t="shared" si="46"/>
        <v>6638289.9524115948</v>
      </c>
      <c r="BD42" s="448">
        <f t="shared" si="46"/>
        <v>6638289.9524115948</v>
      </c>
      <c r="BE42" s="448">
        <f t="shared" si="46"/>
        <v>6638289.9524115948</v>
      </c>
      <c r="BF42" s="448">
        <f t="shared" si="46"/>
        <v>6638289.9524115948</v>
      </c>
      <c r="BG42" s="448">
        <f t="shared" si="46"/>
        <v>6638289.9524115948</v>
      </c>
      <c r="BH42" s="448">
        <f t="shared" si="46"/>
        <v>6638289.9524115948</v>
      </c>
      <c r="BI42" s="448">
        <f t="shared" si="46"/>
        <v>6638289.9524115948</v>
      </c>
      <c r="BJ42" s="448">
        <f t="shared" si="46"/>
        <v>6638289.9524115948</v>
      </c>
      <c r="BK42" s="448">
        <f t="shared" si="46"/>
        <v>6638289.9524115948</v>
      </c>
      <c r="BL42" s="448">
        <f t="shared" si="46"/>
        <v>6638289.9524115948</v>
      </c>
      <c r="BM42" s="448">
        <f t="shared" si="46"/>
        <v>6638289.9524115948</v>
      </c>
      <c r="BN42" s="448">
        <f t="shared" si="46"/>
        <v>6638289.9524115948</v>
      </c>
      <c r="BO42" s="448">
        <f t="shared" si="46"/>
        <v>6638289.9524115948</v>
      </c>
      <c r="BP42" s="448">
        <f t="shared" si="46"/>
        <v>6638289.9524115948</v>
      </c>
      <c r="BQ42" s="448">
        <f t="shared" si="46"/>
        <v>6638289.9524115948</v>
      </c>
      <c r="BR42" s="448">
        <f t="shared" si="46"/>
        <v>6638289.9524115948</v>
      </c>
      <c r="BS42" s="448">
        <f t="shared" si="46"/>
        <v>6638289.9524115948</v>
      </c>
      <c r="BT42" s="448">
        <f t="shared" si="46"/>
        <v>6638289.9524115948</v>
      </c>
      <c r="BU42" s="448">
        <f t="shared" si="46"/>
        <v>6638289.9524115948</v>
      </c>
      <c r="BV42" s="448">
        <f t="shared" si="46"/>
        <v>6638289.9524115948</v>
      </c>
      <c r="BW42" s="448">
        <f t="shared" si="46"/>
        <v>6638289.9524115948</v>
      </c>
      <c r="BX42" s="448">
        <f t="shared" si="46"/>
        <v>6638289.9524115948</v>
      </c>
      <c r="BY42" s="448">
        <f t="shared" si="46"/>
        <v>6638289.9524115948</v>
      </c>
      <c r="BZ42" s="448">
        <f t="shared" si="46"/>
        <v>6638289.9524115948</v>
      </c>
      <c r="CA42" s="448">
        <f t="shared" si="46"/>
        <v>6638289.9524115948</v>
      </c>
      <c r="CB42" s="448">
        <f t="shared" si="46"/>
        <v>6638289.9524115948</v>
      </c>
      <c r="CC42" s="448">
        <f t="shared" si="46"/>
        <v>6638289.9524115948</v>
      </c>
      <c r="CD42" s="448">
        <f t="shared" si="46"/>
        <v>6638289.9524115948</v>
      </c>
      <c r="CE42" s="448">
        <f t="shared" si="46"/>
        <v>6638289.9524115948</v>
      </c>
      <c r="CF42" s="448">
        <f t="shared" si="46"/>
        <v>6638289.9524115948</v>
      </c>
      <c r="CG42" s="448">
        <f t="shared" si="46"/>
        <v>6638289.9524115948</v>
      </c>
      <c r="CH42" s="448">
        <f t="shared" si="46"/>
        <v>6638289.9524115948</v>
      </c>
      <c r="CI42" s="448">
        <f t="shared" si="46"/>
        <v>6638289.9524115948</v>
      </c>
      <c r="CJ42" s="448">
        <f t="shared" si="46"/>
        <v>6638289.9524115948</v>
      </c>
      <c r="CK42" s="448">
        <f t="shared" si="46"/>
        <v>6638289.9524115948</v>
      </c>
      <c r="CL42" s="448">
        <f t="shared" si="46"/>
        <v>6638289.9524115948</v>
      </c>
      <c r="CM42" s="319">
        <f t="shared" si="27"/>
        <v>6638289.9524115948</v>
      </c>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c r="EA42" s="58"/>
      <c r="EB42" s="58"/>
      <c r="EC42" s="58"/>
      <c r="ED42" s="58"/>
      <c r="EE42" s="58"/>
      <c r="EF42" s="58"/>
      <c r="EG42" s="58"/>
      <c r="EH42" s="58"/>
      <c r="EI42" s="58"/>
      <c r="EJ42" s="58"/>
      <c r="EK42" s="58"/>
      <c r="EL42" s="58"/>
      <c r="EM42" s="58"/>
      <c r="EN42" s="58"/>
      <c r="EO42" s="58"/>
      <c r="EP42" s="58"/>
      <c r="EQ42" s="58"/>
      <c r="ER42" s="58"/>
      <c r="ES42" s="58"/>
      <c r="ET42" s="58"/>
      <c r="EU42" s="58"/>
      <c r="EV42" s="58"/>
      <c r="EW42" s="58"/>
      <c r="EX42" s="58"/>
      <c r="EY42" s="58"/>
      <c r="EZ42" s="58"/>
      <c r="FA42" s="58"/>
      <c r="FB42" s="58"/>
      <c r="FC42" s="58"/>
      <c r="FD42" s="58"/>
      <c r="FE42" s="58"/>
      <c r="FF42" s="58"/>
      <c r="FG42" s="58"/>
      <c r="FH42" s="58"/>
      <c r="FI42" s="58"/>
      <c r="FJ42" s="58"/>
      <c r="FK42" s="58"/>
      <c r="FL42" s="58"/>
      <c r="FM42" s="58"/>
      <c r="FN42" s="58"/>
      <c r="FO42" s="58"/>
      <c r="FP42" s="58"/>
      <c r="FQ42" s="58"/>
      <c r="FR42" s="58"/>
      <c r="FS42" s="58"/>
      <c r="FT42" s="58"/>
      <c r="FU42" s="58"/>
      <c r="FV42" s="58"/>
      <c r="FW42" s="313"/>
    </row>
    <row r="43" spans="1:179">
      <c r="A43" s="1058"/>
      <c r="B43" s="224" t="s">
        <v>307</v>
      </c>
      <c r="C43" s="367" t="s">
        <v>326</v>
      </c>
      <c r="D43" s="362"/>
      <c r="E43" s="75">
        <v>113.95</v>
      </c>
      <c r="F43" s="413" t="s">
        <v>330</v>
      </c>
      <c r="G43" s="449">
        <f t="shared" ref="G43:AS43" si="47">$E$43*G16</f>
        <v>13038234.966666667</v>
      </c>
      <c r="H43" s="449">
        <f t="shared" si="47"/>
        <v>13038234.966666667</v>
      </c>
      <c r="I43" s="449">
        <f t="shared" si="47"/>
        <v>13038234.966666667</v>
      </c>
      <c r="J43" s="449">
        <f t="shared" si="47"/>
        <v>13038234.966666667</v>
      </c>
      <c r="K43" s="449">
        <f t="shared" si="47"/>
        <v>13038234.966666667</v>
      </c>
      <c r="L43" s="449">
        <f t="shared" si="47"/>
        <v>13038234.966666667</v>
      </c>
      <c r="M43" s="449">
        <f t="shared" si="47"/>
        <v>13038234.966666667</v>
      </c>
      <c r="N43" s="449">
        <f t="shared" si="47"/>
        <v>13038234.966666667</v>
      </c>
      <c r="O43" s="449">
        <f t="shared" si="47"/>
        <v>13038234.966666667</v>
      </c>
      <c r="P43" s="449">
        <f t="shared" si="47"/>
        <v>13038234.966666667</v>
      </c>
      <c r="Q43" s="449">
        <f t="shared" si="47"/>
        <v>13038234.966666667</v>
      </c>
      <c r="R43" s="449">
        <f t="shared" si="47"/>
        <v>13038234.966666667</v>
      </c>
      <c r="S43" s="449">
        <f t="shared" si="47"/>
        <v>13038234.966666667</v>
      </c>
      <c r="T43" s="449">
        <f t="shared" si="47"/>
        <v>13038234.966666667</v>
      </c>
      <c r="U43" s="449">
        <f t="shared" si="47"/>
        <v>13038234.966666667</v>
      </c>
      <c r="V43" s="449">
        <f t="shared" si="47"/>
        <v>13038234.966666667</v>
      </c>
      <c r="W43" s="449">
        <f t="shared" si="47"/>
        <v>13038234.966666667</v>
      </c>
      <c r="X43" s="449">
        <f t="shared" si="47"/>
        <v>13038234.966666667</v>
      </c>
      <c r="Y43" s="449">
        <f t="shared" si="47"/>
        <v>13038234.966666667</v>
      </c>
      <c r="Z43" s="449">
        <f t="shared" si="47"/>
        <v>13038234.966666667</v>
      </c>
      <c r="AA43" s="449">
        <f t="shared" si="47"/>
        <v>13038234.966666667</v>
      </c>
      <c r="AB43" s="449">
        <f t="shared" si="47"/>
        <v>13038234.966666667</v>
      </c>
      <c r="AC43" s="449">
        <f t="shared" si="47"/>
        <v>13038234.966666667</v>
      </c>
      <c r="AD43" s="449">
        <f t="shared" si="47"/>
        <v>13038234.966666667</v>
      </c>
      <c r="AE43" s="449">
        <f t="shared" si="47"/>
        <v>13038234.966666667</v>
      </c>
      <c r="AF43" s="449">
        <f t="shared" si="47"/>
        <v>13038234.966666667</v>
      </c>
      <c r="AG43" s="449">
        <f t="shared" si="47"/>
        <v>13038234.966666667</v>
      </c>
      <c r="AH43" s="449">
        <f t="shared" si="47"/>
        <v>13038234.966666667</v>
      </c>
      <c r="AI43" s="449">
        <f t="shared" si="47"/>
        <v>13038234.966666667</v>
      </c>
      <c r="AJ43" s="449">
        <f t="shared" si="47"/>
        <v>13038234.966666667</v>
      </c>
      <c r="AK43" s="449">
        <f t="shared" si="47"/>
        <v>13038234.966666667</v>
      </c>
      <c r="AL43" s="449">
        <f t="shared" si="47"/>
        <v>13038234.966666667</v>
      </c>
      <c r="AM43" s="449">
        <f t="shared" si="47"/>
        <v>13038234.966666667</v>
      </c>
      <c r="AN43" s="449">
        <f t="shared" si="47"/>
        <v>13038234.966666667</v>
      </c>
      <c r="AO43" s="449">
        <f t="shared" si="47"/>
        <v>13038234.966666667</v>
      </c>
      <c r="AP43" s="449">
        <f t="shared" si="47"/>
        <v>13038234.966666667</v>
      </c>
      <c r="AQ43" s="449">
        <f t="shared" si="47"/>
        <v>13038234.966666667</v>
      </c>
      <c r="AR43" s="449">
        <f t="shared" si="47"/>
        <v>13038234.966666667</v>
      </c>
      <c r="AS43" s="449">
        <f t="shared" si="47"/>
        <v>13038234.966666667</v>
      </c>
      <c r="AT43" s="449">
        <f>$E$43*AT16</f>
        <v>13038234.966666667</v>
      </c>
      <c r="AU43" s="450">
        <f t="shared" ref="AU43:CL43" si="48">$E$43*AU16</f>
        <v>13038234.966666667</v>
      </c>
      <c r="AV43" s="450">
        <f t="shared" si="48"/>
        <v>13038234.966666667</v>
      </c>
      <c r="AW43" s="450">
        <f t="shared" si="48"/>
        <v>13038234.966666667</v>
      </c>
      <c r="AX43" s="450">
        <f t="shared" si="48"/>
        <v>13038234.966666667</v>
      </c>
      <c r="AY43" s="450">
        <f t="shared" si="48"/>
        <v>13038234.966666667</v>
      </c>
      <c r="AZ43" s="450">
        <f t="shared" si="48"/>
        <v>13038234.966666667</v>
      </c>
      <c r="BA43" s="450">
        <f t="shared" si="48"/>
        <v>13038234.966666667</v>
      </c>
      <c r="BB43" s="450">
        <f t="shared" si="48"/>
        <v>13038234.966666667</v>
      </c>
      <c r="BC43" s="450">
        <f t="shared" si="48"/>
        <v>13038234.966666667</v>
      </c>
      <c r="BD43" s="450">
        <f t="shared" si="48"/>
        <v>13038234.966666667</v>
      </c>
      <c r="BE43" s="450">
        <f t="shared" si="48"/>
        <v>13038234.966666667</v>
      </c>
      <c r="BF43" s="450">
        <f t="shared" si="48"/>
        <v>13038234.966666667</v>
      </c>
      <c r="BG43" s="450">
        <f t="shared" si="48"/>
        <v>13038234.966666667</v>
      </c>
      <c r="BH43" s="450">
        <f t="shared" si="48"/>
        <v>13038234.966666667</v>
      </c>
      <c r="BI43" s="450">
        <f t="shared" si="48"/>
        <v>13038234.966666667</v>
      </c>
      <c r="BJ43" s="450">
        <f t="shared" si="48"/>
        <v>13038234.966666667</v>
      </c>
      <c r="BK43" s="450">
        <f t="shared" si="48"/>
        <v>13038234.966666667</v>
      </c>
      <c r="BL43" s="450">
        <f t="shared" si="48"/>
        <v>13038234.966666667</v>
      </c>
      <c r="BM43" s="450">
        <f t="shared" si="48"/>
        <v>13038234.966666667</v>
      </c>
      <c r="BN43" s="450">
        <f t="shared" si="48"/>
        <v>13038234.966666667</v>
      </c>
      <c r="BO43" s="450">
        <f t="shared" si="48"/>
        <v>13038234.966666667</v>
      </c>
      <c r="BP43" s="450">
        <f t="shared" si="48"/>
        <v>13038234.966666667</v>
      </c>
      <c r="BQ43" s="450">
        <f t="shared" si="48"/>
        <v>13038234.966666667</v>
      </c>
      <c r="BR43" s="450">
        <f t="shared" si="48"/>
        <v>13038234.966666667</v>
      </c>
      <c r="BS43" s="450">
        <f t="shared" si="48"/>
        <v>13038234.966666667</v>
      </c>
      <c r="BT43" s="450">
        <f t="shared" si="48"/>
        <v>13038234.966666667</v>
      </c>
      <c r="BU43" s="450">
        <f t="shared" si="48"/>
        <v>13038234.966666667</v>
      </c>
      <c r="BV43" s="450">
        <f t="shared" si="48"/>
        <v>13038234.966666667</v>
      </c>
      <c r="BW43" s="450">
        <f t="shared" si="48"/>
        <v>13038234.966666667</v>
      </c>
      <c r="BX43" s="450">
        <f t="shared" si="48"/>
        <v>13038234.966666667</v>
      </c>
      <c r="BY43" s="450">
        <f t="shared" si="48"/>
        <v>13038234.966666667</v>
      </c>
      <c r="BZ43" s="450">
        <f t="shared" si="48"/>
        <v>13038234.966666667</v>
      </c>
      <c r="CA43" s="450">
        <f t="shared" si="48"/>
        <v>13038234.966666667</v>
      </c>
      <c r="CB43" s="450">
        <f t="shared" si="48"/>
        <v>13038234.966666667</v>
      </c>
      <c r="CC43" s="450">
        <f t="shared" si="48"/>
        <v>13038234.966666667</v>
      </c>
      <c r="CD43" s="450">
        <f t="shared" si="48"/>
        <v>13038234.966666667</v>
      </c>
      <c r="CE43" s="450">
        <f t="shared" si="48"/>
        <v>13038234.966666667</v>
      </c>
      <c r="CF43" s="450">
        <f t="shared" si="48"/>
        <v>13038234.966666667</v>
      </c>
      <c r="CG43" s="450">
        <f t="shared" si="48"/>
        <v>13038234.966666667</v>
      </c>
      <c r="CH43" s="450">
        <f t="shared" si="48"/>
        <v>13038234.966666667</v>
      </c>
      <c r="CI43" s="450">
        <f t="shared" si="48"/>
        <v>13038234.966666667</v>
      </c>
      <c r="CJ43" s="450">
        <f t="shared" si="48"/>
        <v>13038234.966666667</v>
      </c>
      <c r="CK43" s="450">
        <f t="shared" si="48"/>
        <v>13038234.966666667</v>
      </c>
      <c r="CL43" s="450">
        <f t="shared" si="48"/>
        <v>13038234.966666667</v>
      </c>
      <c r="CM43" s="319">
        <f t="shared" si="27"/>
        <v>13038234.966666676</v>
      </c>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c r="EA43" s="58"/>
      <c r="EB43" s="58"/>
      <c r="EC43" s="58"/>
      <c r="ED43" s="58"/>
      <c r="EE43" s="58"/>
      <c r="EF43" s="58"/>
      <c r="EG43" s="58"/>
      <c r="EH43" s="58"/>
      <c r="EI43" s="58"/>
      <c r="EJ43" s="58"/>
      <c r="EK43" s="58"/>
      <c r="EL43" s="58"/>
      <c r="EM43" s="58"/>
      <c r="EN43" s="58"/>
      <c r="EO43" s="58"/>
      <c r="EP43" s="58"/>
      <c r="EQ43" s="58"/>
      <c r="ER43" s="58"/>
      <c r="ES43" s="58"/>
      <c r="ET43" s="58"/>
      <c r="EU43" s="58"/>
      <c r="EV43" s="58"/>
      <c r="EW43" s="58"/>
      <c r="EX43" s="58"/>
      <c r="EY43" s="58"/>
      <c r="EZ43" s="58"/>
      <c r="FA43" s="58"/>
      <c r="FB43" s="58"/>
      <c r="FC43" s="58"/>
      <c r="FD43" s="58"/>
      <c r="FE43" s="58"/>
      <c r="FF43" s="58"/>
      <c r="FG43" s="58"/>
      <c r="FH43" s="58"/>
      <c r="FI43" s="58"/>
      <c r="FJ43" s="58"/>
      <c r="FK43" s="58"/>
      <c r="FL43" s="58"/>
      <c r="FM43" s="58"/>
      <c r="FN43" s="58"/>
      <c r="FO43" s="58"/>
      <c r="FP43" s="58"/>
      <c r="FQ43" s="58"/>
      <c r="FR43" s="58"/>
      <c r="FS43" s="58"/>
      <c r="FT43" s="58"/>
      <c r="FU43" s="58"/>
      <c r="FV43" s="58"/>
    </row>
    <row r="44" spans="1:179" ht="17.25" customHeight="1">
      <c r="A44" s="451" t="s">
        <v>31</v>
      </c>
      <c r="B44" s="452" t="s">
        <v>307</v>
      </c>
      <c r="C44" s="451" t="s">
        <v>326</v>
      </c>
      <c r="D44" s="451"/>
      <c r="E44" s="453">
        <v>7924</v>
      </c>
      <c r="F44" s="454" t="s">
        <v>331</v>
      </c>
      <c r="G44" s="455">
        <f>$E$44*G16</f>
        <v>906669362.66666663</v>
      </c>
      <c r="H44" s="455">
        <f t="shared" ref="H44:BS44" si="49">$E$44*H16</f>
        <v>906669362.66666663</v>
      </c>
      <c r="I44" s="455">
        <f t="shared" si="49"/>
        <v>906669362.66666663</v>
      </c>
      <c r="J44" s="455">
        <f t="shared" si="49"/>
        <v>906669362.66666663</v>
      </c>
      <c r="K44" s="455">
        <f t="shared" si="49"/>
        <v>906669362.66666663</v>
      </c>
      <c r="L44" s="455">
        <f t="shared" si="49"/>
        <v>906669362.66666663</v>
      </c>
      <c r="M44" s="455">
        <f t="shared" si="49"/>
        <v>906669362.66666663</v>
      </c>
      <c r="N44" s="455">
        <f t="shared" si="49"/>
        <v>906669362.66666663</v>
      </c>
      <c r="O44" s="455">
        <f t="shared" si="49"/>
        <v>906669362.66666663</v>
      </c>
      <c r="P44" s="455">
        <f t="shared" si="49"/>
        <v>906669362.66666663</v>
      </c>
      <c r="Q44" s="455">
        <f t="shared" si="49"/>
        <v>906669362.66666663</v>
      </c>
      <c r="R44" s="455">
        <f t="shared" si="49"/>
        <v>906669362.66666663</v>
      </c>
      <c r="S44" s="455">
        <f t="shared" si="49"/>
        <v>906669362.66666663</v>
      </c>
      <c r="T44" s="455">
        <f t="shared" si="49"/>
        <v>906669362.66666663</v>
      </c>
      <c r="U44" s="455">
        <f t="shared" si="49"/>
        <v>906669362.66666663</v>
      </c>
      <c r="V44" s="455">
        <f t="shared" si="49"/>
        <v>906669362.66666663</v>
      </c>
      <c r="W44" s="455">
        <f t="shared" si="49"/>
        <v>906669362.66666663</v>
      </c>
      <c r="X44" s="455">
        <f t="shared" si="49"/>
        <v>906669362.66666663</v>
      </c>
      <c r="Y44" s="455">
        <f t="shared" si="49"/>
        <v>906669362.66666663</v>
      </c>
      <c r="Z44" s="455">
        <f t="shared" si="49"/>
        <v>906669362.66666663</v>
      </c>
      <c r="AA44" s="455">
        <f t="shared" si="49"/>
        <v>906669362.66666663</v>
      </c>
      <c r="AB44" s="455">
        <f t="shared" si="49"/>
        <v>906669362.66666663</v>
      </c>
      <c r="AC44" s="455">
        <f t="shared" si="49"/>
        <v>906669362.66666663</v>
      </c>
      <c r="AD44" s="455">
        <f t="shared" si="49"/>
        <v>906669362.66666663</v>
      </c>
      <c r="AE44" s="455">
        <f t="shared" si="49"/>
        <v>906669362.66666663</v>
      </c>
      <c r="AF44" s="455">
        <f t="shared" si="49"/>
        <v>906669362.66666663</v>
      </c>
      <c r="AG44" s="455">
        <f t="shared" si="49"/>
        <v>906669362.66666663</v>
      </c>
      <c r="AH44" s="455">
        <f t="shared" si="49"/>
        <v>906669362.66666663</v>
      </c>
      <c r="AI44" s="455">
        <f t="shared" si="49"/>
        <v>906669362.66666663</v>
      </c>
      <c r="AJ44" s="455">
        <f t="shared" si="49"/>
        <v>906669362.66666663</v>
      </c>
      <c r="AK44" s="455">
        <f t="shared" si="49"/>
        <v>906669362.66666663</v>
      </c>
      <c r="AL44" s="455">
        <f t="shared" si="49"/>
        <v>906669362.66666663</v>
      </c>
      <c r="AM44" s="455">
        <f t="shared" si="49"/>
        <v>906669362.66666663</v>
      </c>
      <c r="AN44" s="455">
        <f t="shared" si="49"/>
        <v>906669362.66666663</v>
      </c>
      <c r="AO44" s="455">
        <f t="shared" si="49"/>
        <v>906669362.66666663</v>
      </c>
      <c r="AP44" s="455">
        <f t="shared" si="49"/>
        <v>906669362.66666663</v>
      </c>
      <c r="AQ44" s="455">
        <f t="shared" si="49"/>
        <v>906669362.66666663</v>
      </c>
      <c r="AR44" s="455">
        <f t="shared" si="49"/>
        <v>906669362.66666663</v>
      </c>
      <c r="AS44" s="455">
        <f t="shared" si="49"/>
        <v>906669362.66666663</v>
      </c>
      <c r="AT44" s="455">
        <f t="shared" si="49"/>
        <v>906669362.66666663</v>
      </c>
      <c r="AU44" s="455">
        <f t="shared" si="49"/>
        <v>906669362.66666663</v>
      </c>
      <c r="AV44" s="455">
        <f t="shared" si="49"/>
        <v>906669362.66666663</v>
      </c>
      <c r="AW44" s="455">
        <f t="shared" si="49"/>
        <v>906669362.66666663</v>
      </c>
      <c r="AX44" s="455">
        <f t="shared" si="49"/>
        <v>906669362.66666663</v>
      </c>
      <c r="AY44" s="455">
        <f t="shared" si="49"/>
        <v>906669362.66666663</v>
      </c>
      <c r="AZ44" s="455">
        <f t="shared" si="49"/>
        <v>906669362.66666663</v>
      </c>
      <c r="BA44" s="455">
        <f t="shared" si="49"/>
        <v>906669362.66666663</v>
      </c>
      <c r="BB44" s="455">
        <f t="shared" si="49"/>
        <v>906669362.66666663</v>
      </c>
      <c r="BC44" s="455">
        <f t="shared" si="49"/>
        <v>906669362.66666663</v>
      </c>
      <c r="BD44" s="455">
        <f t="shared" si="49"/>
        <v>906669362.66666663</v>
      </c>
      <c r="BE44" s="455">
        <f t="shared" si="49"/>
        <v>906669362.66666663</v>
      </c>
      <c r="BF44" s="455">
        <f t="shared" si="49"/>
        <v>906669362.66666663</v>
      </c>
      <c r="BG44" s="455">
        <f t="shared" si="49"/>
        <v>906669362.66666663</v>
      </c>
      <c r="BH44" s="455">
        <f t="shared" si="49"/>
        <v>906669362.66666663</v>
      </c>
      <c r="BI44" s="455">
        <f t="shared" si="49"/>
        <v>906669362.66666663</v>
      </c>
      <c r="BJ44" s="455">
        <f t="shared" si="49"/>
        <v>906669362.66666663</v>
      </c>
      <c r="BK44" s="455">
        <f t="shared" si="49"/>
        <v>906669362.66666663</v>
      </c>
      <c r="BL44" s="455">
        <f t="shared" si="49"/>
        <v>906669362.66666663</v>
      </c>
      <c r="BM44" s="455">
        <f t="shared" si="49"/>
        <v>906669362.66666663</v>
      </c>
      <c r="BN44" s="455">
        <f t="shared" si="49"/>
        <v>906669362.66666663</v>
      </c>
      <c r="BO44" s="455">
        <f t="shared" si="49"/>
        <v>906669362.66666663</v>
      </c>
      <c r="BP44" s="455">
        <f t="shared" si="49"/>
        <v>906669362.66666663</v>
      </c>
      <c r="BQ44" s="455">
        <f t="shared" si="49"/>
        <v>906669362.66666663</v>
      </c>
      <c r="BR44" s="455">
        <f t="shared" si="49"/>
        <v>906669362.66666663</v>
      </c>
      <c r="BS44" s="455">
        <f t="shared" si="49"/>
        <v>906669362.66666663</v>
      </c>
      <c r="BT44" s="455">
        <f t="shared" ref="BT44:CL44" si="50">$E$44*BT16</f>
        <v>906669362.66666663</v>
      </c>
      <c r="BU44" s="455">
        <f t="shared" si="50"/>
        <v>906669362.66666663</v>
      </c>
      <c r="BV44" s="455">
        <f t="shared" si="50"/>
        <v>906669362.66666663</v>
      </c>
      <c r="BW44" s="455">
        <f t="shared" si="50"/>
        <v>906669362.66666663</v>
      </c>
      <c r="BX44" s="455">
        <f t="shared" si="50"/>
        <v>906669362.66666663</v>
      </c>
      <c r="BY44" s="455">
        <f t="shared" si="50"/>
        <v>906669362.66666663</v>
      </c>
      <c r="BZ44" s="455">
        <f t="shared" si="50"/>
        <v>906669362.66666663</v>
      </c>
      <c r="CA44" s="455">
        <f t="shared" si="50"/>
        <v>906669362.66666663</v>
      </c>
      <c r="CB44" s="455">
        <f t="shared" si="50"/>
        <v>906669362.66666663</v>
      </c>
      <c r="CC44" s="455">
        <f t="shared" si="50"/>
        <v>906669362.66666663</v>
      </c>
      <c r="CD44" s="455">
        <f t="shared" si="50"/>
        <v>906669362.66666663</v>
      </c>
      <c r="CE44" s="455">
        <f t="shared" si="50"/>
        <v>906669362.66666663</v>
      </c>
      <c r="CF44" s="455">
        <f t="shared" si="50"/>
        <v>906669362.66666663</v>
      </c>
      <c r="CG44" s="455">
        <f t="shared" si="50"/>
        <v>906669362.66666663</v>
      </c>
      <c r="CH44" s="455">
        <f t="shared" si="50"/>
        <v>906669362.66666663</v>
      </c>
      <c r="CI44" s="455">
        <f t="shared" si="50"/>
        <v>906669362.66666663</v>
      </c>
      <c r="CJ44" s="455">
        <f t="shared" si="50"/>
        <v>906669362.66666663</v>
      </c>
      <c r="CK44" s="455">
        <f t="shared" si="50"/>
        <v>906669362.66666663</v>
      </c>
      <c r="CL44" s="455">
        <f t="shared" si="50"/>
        <v>906669362.66666663</v>
      </c>
      <c r="CM44" s="455">
        <f t="shared" si="27"/>
        <v>906669362.66666627</v>
      </c>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c r="EA44" s="58"/>
      <c r="EB44" s="58"/>
      <c r="EC44" s="58"/>
      <c r="ED44" s="58"/>
      <c r="EE44" s="58"/>
      <c r="EF44" s="58"/>
      <c r="EG44" s="58"/>
      <c r="EH44" s="58"/>
      <c r="EI44" s="58"/>
      <c r="EJ44" s="58"/>
      <c r="EK44" s="58"/>
      <c r="EL44" s="58"/>
      <c r="EM44" s="58"/>
      <c r="EN44" s="58"/>
      <c r="EO44" s="58"/>
      <c r="EP44" s="58"/>
      <c r="EQ44" s="58"/>
      <c r="ER44" s="58"/>
      <c r="ES44" s="58"/>
      <c r="ET44" s="58"/>
      <c r="EU44" s="58"/>
      <c r="EV44" s="58"/>
      <c r="EW44" s="58"/>
      <c r="EX44" s="58"/>
      <c r="EY44" s="58"/>
      <c r="EZ44" s="58"/>
      <c r="FA44" s="58"/>
      <c r="FB44" s="58"/>
      <c r="FC44" s="58"/>
      <c r="FD44" s="58"/>
      <c r="FE44" s="58"/>
      <c r="FF44" s="58"/>
      <c r="FG44" s="58"/>
      <c r="FH44" s="58"/>
      <c r="FI44" s="58"/>
      <c r="FJ44" s="58"/>
      <c r="FK44" s="58"/>
      <c r="FL44" s="58"/>
      <c r="FM44" s="58"/>
      <c r="FN44" s="58"/>
      <c r="FO44" s="58"/>
      <c r="FP44" s="58"/>
      <c r="FQ44" s="58"/>
      <c r="FR44" s="58"/>
      <c r="FS44" s="58"/>
      <c r="FT44" s="58"/>
      <c r="FU44" s="58"/>
      <c r="FV44" s="58"/>
    </row>
    <row r="45" spans="1:179" s="314" customFormat="1" ht="20.25" customHeight="1">
      <c r="A45" s="457" t="s">
        <v>240</v>
      </c>
      <c r="B45" s="53" t="s">
        <v>307</v>
      </c>
      <c r="C45" s="457" t="s">
        <v>326</v>
      </c>
      <c r="D45" s="457"/>
      <c r="E45" s="57">
        <v>3131</v>
      </c>
      <c r="F45" s="368" t="s">
        <v>329</v>
      </c>
      <c r="G45" s="455">
        <f>$E$45*G16</f>
        <v>358251107.33333331</v>
      </c>
      <c r="H45" s="455">
        <f t="shared" ref="H45:BS45" si="51">$E$45*H16</f>
        <v>358251107.33333331</v>
      </c>
      <c r="I45" s="455">
        <f t="shared" si="51"/>
        <v>358251107.33333331</v>
      </c>
      <c r="J45" s="455">
        <f t="shared" si="51"/>
        <v>358251107.33333331</v>
      </c>
      <c r="K45" s="455">
        <f t="shared" si="51"/>
        <v>358251107.33333331</v>
      </c>
      <c r="L45" s="455">
        <f t="shared" si="51"/>
        <v>358251107.33333331</v>
      </c>
      <c r="M45" s="455">
        <f t="shared" si="51"/>
        <v>358251107.33333331</v>
      </c>
      <c r="N45" s="455">
        <f t="shared" si="51"/>
        <v>358251107.33333331</v>
      </c>
      <c r="O45" s="455">
        <f t="shared" si="51"/>
        <v>358251107.33333331</v>
      </c>
      <c r="P45" s="455">
        <f t="shared" si="51"/>
        <v>358251107.33333331</v>
      </c>
      <c r="Q45" s="455">
        <f t="shared" si="51"/>
        <v>358251107.33333331</v>
      </c>
      <c r="R45" s="455">
        <f t="shared" si="51"/>
        <v>358251107.33333331</v>
      </c>
      <c r="S45" s="455">
        <f t="shared" si="51"/>
        <v>358251107.33333331</v>
      </c>
      <c r="T45" s="455">
        <f t="shared" si="51"/>
        <v>358251107.33333331</v>
      </c>
      <c r="U45" s="455">
        <f t="shared" si="51"/>
        <v>358251107.33333331</v>
      </c>
      <c r="V45" s="455">
        <f t="shared" si="51"/>
        <v>358251107.33333331</v>
      </c>
      <c r="W45" s="455">
        <f t="shared" si="51"/>
        <v>358251107.33333331</v>
      </c>
      <c r="X45" s="455">
        <f t="shared" si="51"/>
        <v>358251107.33333331</v>
      </c>
      <c r="Y45" s="455">
        <f t="shared" si="51"/>
        <v>358251107.33333331</v>
      </c>
      <c r="Z45" s="455">
        <f t="shared" si="51"/>
        <v>358251107.33333331</v>
      </c>
      <c r="AA45" s="455">
        <f t="shared" si="51"/>
        <v>358251107.33333331</v>
      </c>
      <c r="AB45" s="455">
        <f t="shared" si="51"/>
        <v>358251107.33333331</v>
      </c>
      <c r="AC45" s="455">
        <f t="shared" si="51"/>
        <v>358251107.33333331</v>
      </c>
      <c r="AD45" s="455">
        <f t="shared" si="51"/>
        <v>358251107.33333331</v>
      </c>
      <c r="AE45" s="455">
        <f t="shared" si="51"/>
        <v>358251107.33333331</v>
      </c>
      <c r="AF45" s="455">
        <f t="shared" si="51"/>
        <v>358251107.33333331</v>
      </c>
      <c r="AG45" s="455">
        <f t="shared" si="51"/>
        <v>358251107.33333331</v>
      </c>
      <c r="AH45" s="455">
        <f t="shared" si="51"/>
        <v>358251107.33333331</v>
      </c>
      <c r="AI45" s="455">
        <f t="shared" si="51"/>
        <v>358251107.33333331</v>
      </c>
      <c r="AJ45" s="455">
        <f t="shared" si="51"/>
        <v>358251107.33333331</v>
      </c>
      <c r="AK45" s="455">
        <f t="shared" si="51"/>
        <v>358251107.33333331</v>
      </c>
      <c r="AL45" s="455">
        <f t="shared" si="51"/>
        <v>358251107.33333331</v>
      </c>
      <c r="AM45" s="455">
        <f t="shared" si="51"/>
        <v>358251107.33333331</v>
      </c>
      <c r="AN45" s="455">
        <f t="shared" si="51"/>
        <v>358251107.33333331</v>
      </c>
      <c r="AO45" s="455">
        <f t="shared" si="51"/>
        <v>358251107.33333331</v>
      </c>
      <c r="AP45" s="455">
        <f t="shared" si="51"/>
        <v>358251107.33333331</v>
      </c>
      <c r="AQ45" s="455">
        <f t="shared" si="51"/>
        <v>358251107.33333331</v>
      </c>
      <c r="AR45" s="455">
        <f t="shared" si="51"/>
        <v>358251107.33333331</v>
      </c>
      <c r="AS45" s="455">
        <f t="shared" si="51"/>
        <v>358251107.33333331</v>
      </c>
      <c r="AT45" s="455">
        <f t="shared" si="51"/>
        <v>358251107.33333331</v>
      </c>
      <c r="AU45" s="455">
        <f t="shared" si="51"/>
        <v>358251107.33333331</v>
      </c>
      <c r="AV45" s="455">
        <f t="shared" si="51"/>
        <v>358251107.33333331</v>
      </c>
      <c r="AW45" s="455">
        <f t="shared" si="51"/>
        <v>358251107.33333331</v>
      </c>
      <c r="AX45" s="455">
        <f t="shared" si="51"/>
        <v>358251107.33333331</v>
      </c>
      <c r="AY45" s="455">
        <f t="shared" si="51"/>
        <v>358251107.33333331</v>
      </c>
      <c r="AZ45" s="455">
        <f t="shared" si="51"/>
        <v>358251107.33333331</v>
      </c>
      <c r="BA45" s="455">
        <f t="shared" si="51"/>
        <v>358251107.33333331</v>
      </c>
      <c r="BB45" s="455">
        <f t="shared" si="51"/>
        <v>358251107.33333331</v>
      </c>
      <c r="BC45" s="455">
        <f t="shared" si="51"/>
        <v>358251107.33333331</v>
      </c>
      <c r="BD45" s="455">
        <f t="shared" si="51"/>
        <v>358251107.33333331</v>
      </c>
      <c r="BE45" s="455">
        <f t="shared" si="51"/>
        <v>358251107.33333331</v>
      </c>
      <c r="BF45" s="455">
        <f t="shared" si="51"/>
        <v>358251107.33333331</v>
      </c>
      <c r="BG45" s="455">
        <f t="shared" si="51"/>
        <v>358251107.33333331</v>
      </c>
      <c r="BH45" s="455">
        <f t="shared" si="51"/>
        <v>358251107.33333331</v>
      </c>
      <c r="BI45" s="455">
        <f t="shared" si="51"/>
        <v>358251107.33333331</v>
      </c>
      <c r="BJ45" s="455">
        <f t="shared" si="51"/>
        <v>358251107.33333331</v>
      </c>
      <c r="BK45" s="455">
        <f t="shared" si="51"/>
        <v>358251107.33333331</v>
      </c>
      <c r="BL45" s="455">
        <f t="shared" si="51"/>
        <v>358251107.33333331</v>
      </c>
      <c r="BM45" s="455">
        <f t="shared" si="51"/>
        <v>358251107.33333331</v>
      </c>
      <c r="BN45" s="455">
        <f t="shared" si="51"/>
        <v>358251107.33333331</v>
      </c>
      <c r="BO45" s="455">
        <f t="shared" si="51"/>
        <v>358251107.33333331</v>
      </c>
      <c r="BP45" s="455">
        <f t="shared" si="51"/>
        <v>358251107.33333331</v>
      </c>
      <c r="BQ45" s="455">
        <f t="shared" si="51"/>
        <v>358251107.33333331</v>
      </c>
      <c r="BR45" s="455">
        <f t="shared" si="51"/>
        <v>358251107.33333331</v>
      </c>
      <c r="BS45" s="455">
        <f t="shared" si="51"/>
        <v>358251107.33333331</v>
      </c>
      <c r="BT45" s="455">
        <f t="shared" ref="BT45:CL45" si="52">$E$45*BT16</f>
        <v>358251107.33333331</v>
      </c>
      <c r="BU45" s="455">
        <f t="shared" si="52"/>
        <v>358251107.33333331</v>
      </c>
      <c r="BV45" s="455">
        <f t="shared" si="52"/>
        <v>358251107.33333331</v>
      </c>
      <c r="BW45" s="455">
        <f t="shared" si="52"/>
        <v>358251107.33333331</v>
      </c>
      <c r="BX45" s="455">
        <f t="shared" si="52"/>
        <v>358251107.33333331</v>
      </c>
      <c r="BY45" s="455">
        <f t="shared" si="52"/>
        <v>358251107.33333331</v>
      </c>
      <c r="BZ45" s="455">
        <f t="shared" si="52"/>
        <v>358251107.33333331</v>
      </c>
      <c r="CA45" s="455">
        <f t="shared" si="52"/>
        <v>358251107.33333331</v>
      </c>
      <c r="CB45" s="455">
        <f t="shared" si="52"/>
        <v>358251107.33333331</v>
      </c>
      <c r="CC45" s="455">
        <f t="shared" si="52"/>
        <v>358251107.33333331</v>
      </c>
      <c r="CD45" s="455">
        <f t="shared" si="52"/>
        <v>358251107.33333331</v>
      </c>
      <c r="CE45" s="455">
        <f t="shared" si="52"/>
        <v>358251107.33333331</v>
      </c>
      <c r="CF45" s="455">
        <f t="shared" si="52"/>
        <v>358251107.33333331</v>
      </c>
      <c r="CG45" s="455">
        <f t="shared" si="52"/>
        <v>358251107.33333331</v>
      </c>
      <c r="CH45" s="455">
        <f t="shared" si="52"/>
        <v>358251107.33333331</v>
      </c>
      <c r="CI45" s="455">
        <f t="shared" si="52"/>
        <v>358251107.33333331</v>
      </c>
      <c r="CJ45" s="455">
        <f t="shared" si="52"/>
        <v>358251107.33333331</v>
      </c>
      <c r="CK45" s="455">
        <f t="shared" si="52"/>
        <v>358251107.33333331</v>
      </c>
      <c r="CL45" s="455">
        <f t="shared" si="52"/>
        <v>358251107.33333331</v>
      </c>
      <c r="CM45" s="455">
        <f t="shared" si="27"/>
        <v>358251107.3333329</v>
      </c>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c r="ET45" s="17"/>
      <c r="EU45" s="17"/>
      <c r="EV45" s="17"/>
      <c r="EW45" s="17"/>
      <c r="EX45" s="17"/>
      <c r="EY45" s="17"/>
      <c r="EZ45" s="17"/>
      <c r="FA45" s="17"/>
      <c r="FB45" s="17"/>
      <c r="FC45" s="17"/>
      <c r="FD45" s="17"/>
      <c r="FE45" s="17"/>
      <c r="FF45" s="17"/>
      <c r="FG45" s="17"/>
      <c r="FH45" s="17"/>
      <c r="FI45" s="17"/>
      <c r="FJ45" s="17"/>
      <c r="FK45" s="17"/>
      <c r="FL45" s="17"/>
      <c r="FM45" s="17"/>
      <c r="FN45" s="17"/>
      <c r="FO45" s="17"/>
      <c r="FP45" s="17"/>
      <c r="FQ45" s="17"/>
      <c r="FR45" s="17"/>
      <c r="FS45" s="17"/>
      <c r="FT45" s="17"/>
      <c r="FU45" s="17"/>
      <c r="FV45" s="17"/>
    </row>
    <row r="46" spans="1:179" s="314" customFormat="1">
      <c r="A46" s="460" t="s">
        <v>332</v>
      </c>
      <c r="B46" s="180" t="s">
        <v>312</v>
      </c>
      <c r="C46" s="460" t="s">
        <v>326</v>
      </c>
      <c r="D46" s="460"/>
      <c r="E46" s="461"/>
      <c r="F46" s="375" t="s">
        <v>149</v>
      </c>
      <c r="G46" s="462">
        <f t="shared" ref="G46:BR47" si="53">G12*G2</f>
        <v>2448000000</v>
      </c>
      <c r="H46" s="462">
        <f t="shared" si="53"/>
        <v>2385000000</v>
      </c>
      <c r="I46" s="462">
        <f t="shared" si="53"/>
        <v>1989000000</v>
      </c>
      <c r="J46" s="462">
        <f t="shared" si="53"/>
        <v>1872000000</v>
      </c>
      <c r="K46" s="462">
        <f t="shared" si="53"/>
        <v>1899000000</v>
      </c>
      <c r="L46" s="462">
        <f t="shared" si="53"/>
        <v>1957500000</v>
      </c>
      <c r="M46" s="462">
        <f t="shared" si="53"/>
        <v>1917000000</v>
      </c>
      <c r="N46" s="462">
        <f t="shared" si="53"/>
        <v>1889100000</v>
      </c>
      <c r="O46" s="462">
        <f t="shared" si="53"/>
        <v>1858500000</v>
      </c>
      <c r="P46" s="462">
        <f t="shared" si="53"/>
        <v>1829700000</v>
      </c>
      <c r="Q46" s="462">
        <f t="shared" si="53"/>
        <v>1809000000</v>
      </c>
      <c r="R46" s="462">
        <f t="shared" si="53"/>
        <v>1750500000</v>
      </c>
      <c r="S46" s="462">
        <f t="shared" si="53"/>
        <v>1832400000</v>
      </c>
      <c r="T46" s="462">
        <f t="shared" si="53"/>
        <v>1786230000</v>
      </c>
      <c r="U46" s="462">
        <f t="shared" si="53"/>
        <v>1715130000</v>
      </c>
      <c r="V46" s="462">
        <f t="shared" si="53"/>
        <v>1985760000</v>
      </c>
      <c r="W46" s="462">
        <f t="shared" si="53"/>
        <v>1903500000</v>
      </c>
      <c r="X46" s="462">
        <f t="shared" si="53"/>
        <v>1695420000</v>
      </c>
      <c r="Y46" s="462">
        <f t="shared" si="53"/>
        <v>1086930000</v>
      </c>
      <c r="Z46" s="462">
        <f t="shared" si="53"/>
        <v>1251360000</v>
      </c>
      <c r="AA46" s="462">
        <f t="shared" si="53"/>
        <v>1190340000</v>
      </c>
      <c r="AB46" s="462">
        <f t="shared" si="53"/>
        <v>1190790000</v>
      </c>
      <c r="AC46" s="462">
        <f t="shared" si="53"/>
        <v>1342980000</v>
      </c>
      <c r="AD46" s="462">
        <f t="shared" si="53"/>
        <v>1269720000</v>
      </c>
      <c r="AE46" s="462">
        <f t="shared" si="53"/>
        <v>993960000</v>
      </c>
      <c r="AF46" s="462">
        <f t="shared" si="53"/>
        <v>1374390000</v>
      </c>
      <c r="AG46" s="462">
        <f t="shared" si="53"/>
        <v>1368990000</v>
      </c>
      <c r="AH46" s="462">
        <f t="shared" si="53"/>
        <v>1619460000</v>
      </c>
      <c r="AI46" s="462">
        <f t="shared" si="53"/>
        <v>1741860000</v>
      </c>
      <c r="AJ46" s="462">
        <f t="shared" si="53"/>
        <v>2116980000</v>
      </c>
      <c r="AK46" s="462">
        <f t="shared" si="53"/>
        <v>2164050000</v>
      </c>
      <c r="AL46" s="462">
        <f t="shared" si="53"/>
        <v>1832580000</v>
      </c>
      <c r="AM46" s="462">
        <f t="shared" si="53"/>
        <v>1751310000</v>
      </c>
      <c r="AN46" s="462">
        <f t="shared" si="53"/>
        <v>1837170000</v>
      </c>
      <c r="AO46" s="462">
        <f t="shared" si="53"/>
        <v>1370340000</v>
      </c>
      <c r="AP46" s="462">
        <f t="shared" si="53"/>
        <v>1518930000</v>
      </c>
      <c r="AQ46" s="462">
        <f t="shared" si="53"/>
        <v>2595060000</v>
      </c>
      <c r="AR46" s="462">
        <f t="shared" si="53"/>
        <v>2616840000</v>
      </c>
      <c r="AS46" s="462">
        <f t="shared" si="53"/>
        <v>2694330000</v>
      </c>
      <c r="AT46" s="462">
        <f t="shared" si="53"/>
        <v>2609543229.9309363</v>
      </c>
      <c r="AU46" s="373">
        <f t="shared" si="53"/>
        <v>2617518416.2533054</v>
      </c>
      <c r="AV46" s="373">
        <f t="shared" si="53"/>
        <v>3092985430.262939</v>
      </c>
      <c r="AW46" s="373">
        <f t="shared" si="53"/>
        <v>3020475668.9333029</v>
      </c>
      <c r="AX46" s="373">
        <f t="shared" si="53"/>
        <v>2359701055.9509354</v>
      </c>
      <c r="AY46" s="373">
        <f t="shared" si="53"/>
        <v>3239583761.2454371</v>
      </c>
      <c r="AZ46" s="373">
        <f t="shared" si="53"/>
        <v>3638445124.3081231</v>
      </c>
      <c r="BA46" s="373">
        <f t="shared" si="53"/>
        <v>3762222393.8553824</v>
      </c>
      <c r="BB46" s="373">
        <f t="shared" si="53"/>
        <v>3790225287.029439</v>
      </c>
      <c r="BC46" s="373">
        <f t="shared" si="53"/>
        <v>2339660954.846436</v>
      </c>
      <c r="BD46" s="373">
        <f t="shared" si="53"/>
        <v>2090985700.4139311</v>
      </c>
      <c r="BE46" s="373">
        <f t="shared" si="53"/>
        <v>2093637417.2783034</v>
      </c>
      <c r="BF46" s="373">
        <f t="shared" si="53"/>
        <v>2151695630.9651217</v>
      </c>
      <c r="BG46" s="373">
        <f t="shared" si="53"/>
        <v>2098616693.6464489</v>
      </c>
      <c r="BH46" s="373">
        <f t="shared" si="53"/>
        <v>2104480690.6565998</v>
      </c>
      <c r="BI46" s="373">
        <f t="shared" si="53"/>
        <v>2218612160.8211937</v>
      </c>
      <c r="BJ46" s="373">
        <f t="shared" si="53"/>
        <v>2210213302.8184624</v>
      </c>
      <c r="BK46" s="373">
        <f t="shared" si="53"/>
        <v>2234653610.3209758</v>
      </c>
      <c r="BL46" s="373">
        <f t="shared" si="53"/>
        <v>2254988724.0478163</v>
      </c>
      <c r="BM46" s="373">
        <f t="shared" si="53"/>
        <v>2320976701.1184182</v>
      </c>
      <c r="BN46" s="373">
        <f t="shared" si="53"/>
        <v>2217890752.9422536</v>
      </c>
      <c r="BO46" s="373">
        <f t="shared" si="53"/>
        <v>2065740958.3347883</v>
      </c>
      <c r="BP46" s="373">
        <f t="shared" si="53"/>
        <v>2065309995.7044837</v>
      </c>
      <c r="BQ46" s="373">
        <f t="shared" si="53"/>
        <v>2098551916.272788</v>
      </c>
      <c r="BR46" s="373">
        <f t="shared" si="53"/>
        <v>2150151476.0928125</v>
      </c>
      <c r="BS46" s="373">
        <f t="shared" ref="BS46:CL47" si="54">BS12*BS2</f>
        <v>2180574933.4812708</v>
      </c>
      <c r="BT46" s="373">
        <f t="shared" si="54"/>
        <v>2118778040.8757863</v>
      </c>
      <c r="BU46" s="373">
        <f t="shared" si="54"/>
        <v>1858008770.0225008</v>
      </c>
      <c r="BV46" s="373">
        <f t="shared" si="54"/>
        <v>1880127390.2009177</v>
      </c>
      <c r="BW46" s="373">
        <f t="shared" si="54"/>
        <v>1923708020.5756929</v>
      </c>
      <c r="BX46" s="373">
        <f t="shared" si="54"/>
        <v>1874143394.3291421</v>
      </c>
      <c r="BY46" s="373">
        <f t="shared" si="54"/>
        <v>1913627762.3541231</v>
      </c>
      <c r="BZ46" s="373">
        <f t="shared" si="54"/>
        <v>1979926828.3003767</v>
      </c>
      <c r="CA46" s="373">
        <f t="shared" si="54"/>
        <v>1716406546.9035819</v>
      </c>
      <c r="CB46" s="373">
        <f t="shared" si="54"/>
        <v>1657495161.7467065</v>
      </c>
      <c r="CC46" s="373">
        <f t="shared" si="54"/>
        <v>1766824726.2401979</v>
      </c>
      <c r="CD46" s="373">
        <f t="shared" si="54"/>
        <v>1697591465.7585526</v>
      </c>
      <c r="CE46" s="373">
        <f t="shared" si="54"/>
        <v>1747579069.6981471</v>
      </c>
      <c r="CF46" s="373">
        <f t="shared" si="54"/>
        <v>1761595019.4251738</v>
      </c>
      <c r="CG46" s="373">
        <f t="shared" si="54"/>
        <v>1726324390.4189818</v>
      </c>
      <c r="CH46" s="373">
        <f t="shared" si="54"/>
        <v>1749479533.6763489</v>
      </c>
      <c r="CI46" s="373">
        <f t="shared" si="54"/>
        <v>1741473822.6168683</v>
      </c>
      <c r="CJ46" s="373">
        <f t="shared" si="54"/>
        <v>1762741655.2489276</v>
      </c>
      <c r="CK46" s="373">
        <f t="shared" si="54"/>
        <v>1698508354.861799</v>
      </c>
      <c r="CL46" s="373">
        <f t="shared" si="54"/>
        <v>1705465272.1058002</v>
      </c>
      <c r="CM46" s="319">
        <f t="shared" si="27"/>
        <v>2009028062.058233</v>
      </c>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17"/>
      <c r="FG46" s="17"/>
      <c r="FH46" s="17"/>
      <c r="FI46" s="17"/>
      <c r="FJ46" s="17"/>
      <c r="FK46" s="17"/>
      <c r="FL46" s="17"/>
      <c r="FM46" s="17"/>
      <c r="FN46" s="17"/>
      <c r="FO46" s="17"/>
      <c r="FP46" s="17"/>
      <c r="FQ46" s="17"/>
      <c r="FR46" s="17"/>
      <c r="FS46" s="17"/>
      <c r="FT46" s="17"/>
      <c r="FU46" s="17"/>
      <c r="FV46" s="17"/>
    </row>
    <row r="47" spans="1:179" s="314" customFormat="1">
      <c r="A47" s="460" t="s">
        <v>332</v>
      </c>
      <c r="B47" s="180" t="s">
        <v>312</v>
      </c>
      <c r="C47" s="460" t="s">
        <v>326</v>
      </c>
      <c r="D47" s="460"/>
      <c r="E47" s="461"/>
      <c r="F47" s="375" t="s">
        <v>0</v>
      </c>
      <c r="G47" s="462">
        <f t="shared" si="53"/>
        <v>819729166.66666675</v>
      </c>
      <c r="H47" s="462">
        <f t="shared" si="53"/>
        <v>802375000</v>
      </c>
      <c r="I47" s="462">
        <f t="shared" si="53"/>
        <v>704375000</v>
      </c>
      <c r="J47" s="462">
        <f t="shared" si="53"/>
        <v>678650000</v>
      </c>
      <c r="K47" s="462">
        <f t="shared" si="53"/>
        <v>668645833.33333337</v>
      </c>
      <c r="L47" s="462">
        <f t="shared" si="53"/>
        <v>675791666.66666675</v>
      </c>
      <c r="M47" s="462">
        <f t="shared" si="53"/>
        <v>666604166.66666675</v>
      </c>
      <c r="N47" s="462">
        <f t="shared" si="53"/>
        <v>659458333.33333337</v>
      </c>
      <c r="O47" s="462">
        <f t="shared" si="53"/>
        <v>614541666.66666675</v>
      </c>
      <c r="P47" s="462">
        <f t="shared" si="53"/>
        <v>604333333.33333337</v>
      </c>
      <c r="Q47" s="462">
        <f t="shared" si="53"/>
        <v>598208333.33333337</v>
      </c>
      <c r="R47" s="462">
        <f t="shared" si="53"/>
        <v>575750000</v>
      </c>
      <c r="S47" s="462">
        <f t="shared" si="53"/>
        <v>594737500</v>
      </c>
      <c r="T47" s="462">
        <f t="shared" si="53"/>
        <v>571258333.33333337</v>
      </c>
      <c r="U47" s="462">
        <f t="shared" si="53"/>
        <v>580854166.66666675</v>
      </c>
      <c r="V47" s="462">
        <f t="shared" si="53"/>
        <v>652108333.33333337</v>
      </c>
      <c r="W47" s="462">
        <f t="shared" si="53"/>
        <v>660683333.33333337</v>
      </c>
      <c r="X47" s="462">
        <f t="shared" si="53"/>
        <v>557375000</v>
      </c>
      <c r="Y47" s="462">
        <f t="shared" si="53"/>
        <v>478362500</v>
      </c>
      <c r="Z47" s="462">
        <f t="shared" si="53"/>
        <v>502250000.00000006</v>
      </c>
      <c r="AA47" s="462">
        <f t="shared" si="53"/>
        <v>492041666.66666669</v>
      </c>
      <c r="AB47" s="462">
        <f t="shared" si="53"/>
        <v>508375000.00000006</v>
      </c>
      <c r="AC47" s="462">
        <f t="shared" si="53"/>
        <v>473258333.33333337</v>
      </c>
      <c r="AD47" s="462">
        <f t="shared" si="53"/>
        <v>464479166.66666669</v>
      </c>
      <c r="AE47" s="462">
        <f t="shared" si="53"/>
        <v>435895833.33333337</v>
      </c>
      <c r="AF47" s="462">
        <f t="shared" si="53"/>
        <v>490408333.33333337</v>
      </c>
      <c r="AG47" s="462">
        <f t="shared" si="53"/>
        <v>552679166.66666675</v>
      </c>
      <c r="AH47" s="462">
        <f t="shared" si="53"/>
        <v>581875000</v>
      </c>
      <c r="AI47" s="462">
        <f t="shared" si="53"/>
        <v>625566666.66666675</v>
      </c>
      <c r="AJ47" s="462">
        <f t="shared" si="53"/>
        <v>683754166.66666675</v>
      </c>
      <c r="AK47" s="462">
        <f t="shared" si="53"/>
        <v>712337500</v>
      </c>
      <c r="AL47" s="462">
        <f t="shared" si="53"/>
        <v>658845833.33333337</v>
      </c>
      <c r="AM47" s="462">
        <f t="shared" si="53"/>
        <v>605354166.66666675</v>
      </c>
      <c r="AN47" s="462">
        <f t="shared" si="53"/>
        <v>579016666.66666675</v>
      </c>
      <c r="AO47" s="462">
        <f t="shared" si="53"/>
        <v>526341666.66666669</v>
      </c>
      <c r="AP47" s="462">
        <f t="shared" si="53"/>
        <v>587795833.33333337</v>
      </c>
      <c r="AQ47" s="462">
        <f t="shared" si="53"/>
        <v>770525000</v>
      </c>
      <c r="AR47" s="462">
        <f t="shared" si="53"/>
        <v>794412500</v>
      </c>
      <c r="AS47" s="462">
        <f t="shared" si="53"/>
        <v>800333333.33333337</v>
      </c>
      <c r="AT47" s="462">
        <f t="shared" si="53"/>
        <v>801716353.46445858</v>
      </c>
      <c r="AU47" s="373">
        <f t="shared" si="53"/>
        <v>721136937.262784</v>
      </c>
      <c r="AV47" s="373">
        <f t="shared" si="53"/>
        <v>666453972.72130227</v>
      </c>
      <c r="AW47" s="373">
        <f t="shared" si="53"/>
        <v>665414157.91684282</v>
      </c>
      <c r="AX47" s="373">
        <f t="shared" si="53"/>
        <v>721162610.85783172</v>
      </c>
      <c r="AY47" s="373">
        <f t="shared" si="53"/>
        <v>810622701.88580012</v>
      </c>
      <c r="AZ47" s="373">
        <f t="shared" si="53"/>
        <v>814079454.17229271</v>
      </c>
      <c r="BA47" s="373">
        <f t="shared" si="53"/>
        <v>861314616.18763947</v>
      </c>
      <c r="BB47" s="373">
        <f t="shared" si="53"/>
        <v>925971222.84003949</v>
      </c>
      <c r="BC47" s="373">
        <f t="shared" si="53"/>
        <v>1029440259.0668697</v>
      </c>
      <c r="BD47" s="373">
        <f t="shared" si="53"/>
        <v>828577314.15228927</v>
      </c>
      <c r="BE47" s="373">
        <f t="shared" si="53"/>
        <v>672691817.03807199</v>
      </c>
      <c r="BF47" s="373">
        <f t="shared" si="53"/>
        <v>649887894.21499908</v>
      </c>
      <c r="BG47" s="373">
        <f t="shared" si="53"/>
        <v>669169028.59017086</v>
      </c>
      <c r="BH47" s="373">
        <f t="shared" si="53"/>
        <v>726895122.46640527</v>
      </c>
      <c r="BI47" s="373">
        <f t="shared" si="53"/>
        <v>763855822.35880196</v>
      </c>
      <c r="BJ47" s="373">
        <f t="shared" si="53"/>
        <v>782232558.85649168</v>
      </c>
      <c r="BK47" s="373">
        <f t="shared" si="53"/>
        <v>637597293.74049735</v>
      </c>
      <c r="BL47" s="373">
        <f t="shared" si="53"/>
        <v>551000788.91053092</v>
      </c>
      <c r="BM47" s="373">
        <f t="shared" si="53"/>
        <v>561518554.06946921</v>
      </c>
      <c r="BN47" s="373">
        <f t="shared" si="53"/>
        <v>533480479.30195153</v>
      </c>
      <c r="BO47" s="373">
        <f t="shared" si="53"/>
        <v>637084608.14688385</v>
      </c>
      <c r="BP47" s="373">
        <f t="shared" si="53"/>
        <v>656003332.23458719</v>
      </c>
      <c r="BQ47" s="373">
        <f t="shared" si="53"/>
        <v>668930345.44580078</v>
      </c>
      <c r="BR47" s="373">
        <f t="shared" si="53"/>
        <v>860499557.31158018</v>
      </c>
      <c r="BS47" s="373">
        <f t="shared" si="54"/>
        <v>771275131.16434133</v>
      </c>
      <c r="BT47" s="373">
        <f t="shared" si="54"/>
        <v>681756547.16783297</v>
      </c>
      <c r="BU47" s="373">
        <f t="shared" si="54"/>
        <v>374304266.41559446</v>
      </c>
      <c r="BV47" s="373">
        <f t="shared" si="54"/>
        <v>549361458.26983202</v>
      </c>
      <c r="BW47" s="373">
        <f t="shared" si="54"/>
        <v>566227310.82720089</v>
      </c>
      <c r="BX47" s="373">
        <f t="shared" si="54"/>
        <v>576532952.71101546</v>
      </c>
      <c r="BY47" s="373">
        <f t="shared" si="54"/>
        <v>582087039.40085149</v>
      </c>
      <c r="BZ47" s="373">
        <f t="shared" si="54"/>
        <v>572897328.25848079</v>
      </c>
      <c r="CA47" s="373">
        <f t="shared" si="54"/>
        <v>588419294.94560945</v>
      </c>
      <c r="CB47" s="373">
        <f t="shared" si="54"/>
        <v>682006271.72288942</v>
      </c>
      <c r="CC47" s="373">
        <f t="shared" si="54"/>
        <v>707318444.05602074</v>
      </c>
      <c r="CD47" s="373">
        <f t="shared" si="54"/>
        <v>859110333.19500983</v>
      </c>
      <c r="CE47" s="373">
        <f t="shared" si="54"/>
        <v>940668165.95806003</v>
      </c>
      <c r="CF47" s="373">
        <f t="shared" si="54"/>
        <v>972274466.53603578</v>
      </c>
      <c r="CG47" s="373">
        <f t="shared" si="54"/>
        <v>890985627.41697907</v>
      </c>
      <c r="CH47" s="373">
        <f t="shared" si="54"/>
        <v>775533866.65366924</v>
      </c>
      <c r="CI47" s="373">
        <f t="shared" si="54"/>
        <v>833205434.70734596</v>
      </c>
      <c r="CJ47" s="373">
        <f t="shared" si="54"/>
        <v>985662387.68282354</v>
      </c>
      <c r="CK47" s="373">
        <f t="shared" si="54"/>
        <v>1044459721.619254</v>
      </c>
      <c r="CL47" s="375">
        <f t="shared" si="54"/>
        <v>1043437151.1360354</v>
      </c>
      <c r="CM47" s="319">
        <f t="shared" si="27"/>
        <v>681233898.84594357</v>
      </c>
      <c r="CN47" s="17"/>
      <c r="CO47" s="17"/>
      <c r="CP47" s="17"/>
      <c r="CQ47" s="17"/>
      <c r="CR47" s="17"/>
      <c r="CS47" s="17"/>
      <c r="CT47" s="17"/>
      <c r="CU47" s="17"/>
      <c r="CV47" s="17"/>
      <c r="CW47" s="17"/>
      <c r="CX47" s="17"/>
      <c r="CY47" s="17"/>
      <c r="CZ47" s="17"/>
      <c r="DA47" s="17"/>
      <c r="DB47" s="17"/>
      <c r="DC47" s="17"/>
      <c r="DD47" s="17"/>
      <c r="DE47" s="17"/>
      <c r="DF47" s="17"/>
      <c r="DG47" s="17"/>
      <c r="DH47" s="17"/>
      <c r="DI47" s="17"/>
      <c r="DJ47" s="17"/>
      <c r="DK47" s="17"/>
      <c r="DL47" s="17"/>
      <c r="DM47" s="17"/>
      <c r="DN47" s="17"/>
      <c r="DO47" s="17"/>
      <c r="DP47" s="17"/>
      <c r="DQ47" s="17"/>
      <c r="DR47" s="17"/>
      <c r="DS47" s="17"/>
      <c r="DT47" s="17"/>
      <c r="DU47" s="17"/>
      <c r="DV47" s="17"/>
      <c r="DW47" s="17"/>
      <c r="DX47" s="17"/>
      <c r="DY47" s="17"/>
      <c r="DZ47" s="17"/>
      <c r="EA47" s="17"/>
      <c r="EB47" s="17"/>
      <c r="EC47" s="17"/>
      <c r="ED47" s="17"/>
      <c r="EE47" s="17"/>
      <c r="EF47" s="17"/>
      <c r="EG47" s="17"/>
      <c r="EH47" s="17"/>
      <c r="EI47" s="17"/>
      <c r="EJ47" s="17"/>
      <c r="EK47" s="17"/>
      <c r="EL47" s="17"/>
      <c r="EM47" s="17"/>
      <c r="EN47" s="17"/>
      <c r="EO47" s="17"/>
      <c r="EP47" s="17"/>
      <c r="EQ47" s="17"/>
      <c r="ER47" s="17"/>
      <c r="ES47" s="17"/>
      <c r="ET47" s="17"/>
      <c r="EU47" s="17"/>
      <c r="EV47" s="17"/>
      <c r="EW47" s="17"/>
      <c r="EX47" s="17"/>
      <c r="EY47" s="17"/>
      <c r="EZ47" s="17"/>
      <c r="FA47" s="17"/>
      <c r="FB47" s="17"/>
      <c r="FC47" s="17"/>
      <c r="FD47" s="17"/>
      <c r="FE47" s="17"/>
      <c r="FF47" s="17"/>
      <c r="FG47" s="17"/>
      <c r="FH47" s="17"/>
      <c r="FI47" s="17"/>
      <c r="FJ47" s="17"/>
      <c r="FK47" s="17"/>
      <c r="FL47" s="17"/>
      <c r="FM47" s="17"/>
      <c r="FN47" s="17"/>
      <c r="FO47" s="17"/>
      <c r="FP47" s="17"/>
      <c r="FQ47" s="17"/>
      <c r="FR47" s="17"/>
      <c r="FS47" s="17"/>
      <c r="FT47" s="17"/>
      <c r="FU47" s="17"/>
      <c r="FV47" s="17"/>
    </row>
    <row r="48" spans="1:179">
      <c r="A48" s="463" t="s">
        <v>332</v>
      </c>
      <c r="B48" s="52" t="s">
        <v>312</v>
      </c>
      <c r="C48" s="362" t="s">
        <v>326</v>
      </c>
      <c r="D48" s="362"/>
      <c r="E48" s="58"/>
      <c r="F48" s="382" t="s">
        <v>306</v>
      </c>
      <c r="G48" s="464">
        <f t="shared" ref="G48:BR49" si="55">G4*G14</f>
        <v>410266666.66666669</v>
      </c>
      <c r="H48" s="464">
        <f t="shared" si="55"/>
        <v>391000000</v>
      </c>
      <c r="I48" s="464">
        <f t="shared" si="55"/>
        <v>357000000</v>
      </c>
      <c r="J48" s="464">
        <f t="shared" si="55"/>
        <v>342266666.66666669</v>
      </c>
      <c r="K48" s="464">
        <f t="shared" si="55"/>
        <v>338866666.66666669</v>
      </c>
      <c r="L48" s="464">
        <f t="shared" si="55"/>
        <v>346800000</v>
      </c>
      <c r="M48" s="464">
        <f t="shared" si="55"/>
        <v>334333333.33333337</v>
      </c>
      <c r="N48" s="464">
        <f t="shared" si="55"/>
        <v>329800000</v>
      </c>
      <c r="O48" s="464">
        <f t="shared" si="55"/>
        <v>327533333.33333337</v>
      </c>
      <c r="P48" s="464">
        <f t="shared" si="55"/>
        <v>325266666.66666669</v>
      </c>
      <c r="Q48" s="464">
        <f t="shared" si="55"/>
        <v>323226666.66666669</v>
      </c>
      <c r="R48" s="464">
        <f t="shared" si="55"/>
        <v>311100000</v>
      </c>
      <c r="S48" s="464">
        <f t="shared" si="55"/>
        <v>325799333.33333337</v>
      </c>
      <c r="T48" s="464">
        <f t="shared" si="55"/>
        <v>298780666.66666669</v>
      </c>
      <c r="U48" s="464">
        <f t="shared" si="55"/>
        <v>320892000</v>
      </c>
      <c r="V48" s="464">
        <f t="shared" si="55"/>
        <v>350245333.33333337</v>
      </c>
      <c r="W48" s="464">
        <f t="shared" si="55"/>
        <v>364695333.33333337</v>
      </c>
      <c r="X48" s="464">
        <f t="shared" si="55"/>
        <v>288535333.33333337</v>
      </c>
      <c r="Y48" s="464">
        <f t="shared" si="55"/>
        <v>254365333.33333334</v>
      </c>
      <c r="Z48" s="464">
        <f t="shared" si="55"/>
        <v>257278000</v>
      </c>
      <c r="AA48" s="464">
        <f t="shared" si="55"/>
        <v>263545333.33333334</v>
      </c>
      <c r="AB48" s="464">
        <f t="shared" si="55"/>
        <v>279820000</v>
      </c>
      <c r="AC48" s="464">
        <f t="shared" si="55"/>
        <v>248687333.33333334</v>
      </c>
      <c r="AD48" s="464">
        <f t="shared" si="55"/>
        <v>238816000</v>
      </c>
      <c r="AE48" s="464">
        <f t="shared" si="55"/>
        <v>234418666.66666669</v>
      </c>
      <c r="AF48" s="464">
        <f t="shared" si="55"/>
        <v>253413333.33333334</v>
      </c>
      <c r="AG48" s="464">
        <f t="shared" si="55"/>
        <v>296128666.66666669</v>
      </c>
      <c r="AH48" s="464">
        <f t="shared" si="55"/>
        <v>319940000</v>
      </c>
      <c r="AI48" s="464">
        <f t="shared" si="55"/>
        <v>337914666.66666669</v>
      </c>
      <c r="AJ48" s="464">
        <f t="shared" si="55"/>
        <v>365590666.66666669</v>
      </c>
      <c r="AK48" s="464">
        <f t="shared" si="55"/>
        <v>381627333.33333337</v>
      </c>
      <c r="AL48" s="464">
        <f t="shared" si="55"/>
        <v>353588666.66666669</v>
      </c>
      <c r="AM48" s="464">
        <f t="shared" si="55"/>
        <v>324541333.33333337</v>
      </c>
      <c r="AN48" s="464">
        <f t="shared" si="55"/>
        <v>317877333.33333337</v>
      </c>
      <c r="AO48" s="464">
        <f t="shared" si="55"/>
        <v>291108000</v>
      </c>
      <c r="AP48" s="464">
        <f t="shared" si="55"/>
        <v>320631333.33333337</v>
      </c>
      <c r="AQ48" s="464">
        <f t="shared" si="55"/>
        <v>417066666.66666669</v>
      </c>
      <c r="AR48" s="464">
        <f t="shared" si="55"/>
        <v>419435333.33333337</v>
      </c>
      <c r="AS48" s="464">
        <f t="shared" si="55"/>
        <v>442362666.66666669</v>
      </c>
      <c r="AT48" s="464">
        <f t="shared" si="55"/>
        <v>429928480.72903568</v>
      </c>
      <c r="AU48" s="376">
        <f t="shared" si="55"/>
        <v>385079925.02018911</v>
      </c>
      <c r="AV48" s="376">
        <f t="shared" si="55"/>
        <v>358381905.97104824</v>
      </c>
      <c r="AW48" s="376">
        <f t="shared" si="55"/>
        <v>365450349.45459408</v>
      </c>
      <c r="AX48" s="376">
        <f t="shared" si="55"/>
        <v>404426627.86456275</v>
      </c>
      <c r="AY48" s="376">
        <f t="shared" si="55"/>
        <v>450271600.75166714</v>
      </c>
      <c r="AZ48" s="376">
        <f t="shared" si="55"/>
        <v>464124553.01326114</v>
      </c>
      <c r="BA48" s="376">
        <f t="shared" si="55"/>
        <v>490336763.18999994</v>
      </c>
      <c r="BB48" s="376">
        <f t="shared" si="55"/>
        <v>543865990.58020711</v>
      </c>
      <c r="BC48" s="376">
        <f t="shared" si="55"/>
        <v>571576013.79636884</v>
      </c>
      <c r="BD48" s="376">
        <f t="shared" si="55"/>
        <v>447972006.50337148</v>
      </c>
      <c r="BE48" s="376">
        <f t="shared" si="55"/>
        <v>348009572.91704518</v>
      </c>
      <c r="BF48" s="376">
        <f t="shared" si="55"/>
        <v>352653624.82164407</v>
      </c>
      <c r="BG48" s="376">
        <f t="shared" si="55"/>
        <v>396779623.7170344</v>
      </c>
      <c r="BH48" s="376">
        <f t="shared" si="55"/>
        <v>428264388.52257901</v>
      </c>
      <c r="BI48" s="376">
        <f t="shared" si="55"/>
        <v>440493304.01240301</v>
      </c>
      <c r="BJ48" s="376">
        <f t="shared" si="55"/>
        <v>438353684.37427515</v>
      </c>
      <c r="BK48" s="376">
        <f t="shared" si="55"/>
        <v>341574302.39495516</v>
      </c>
      <c r="BL48" s="376">
        <f t="shared" si="55"/>
        <v>289550906.34884405</v>
      </c>
      <c r="BM48" s="376">
        <f t="shared" si="55"/>
        <v>303289587.04156291</v>
      </c>
      <c r="BN48" s="376">
        <f t="shared" si="55"/>
        <v>304560622.44171983</v>
      </c>
      <c r="BO48" s="376">
        <f t="shared" si="55"/>
        <v>366278522.67173648</v>
      </c>
      <c r="BP48" s="376">
        <f t="shared" si="55"/>
        <v>376871752.68364006</v>
      </c>
      <c r="BQ48" s="376">
        <f t="shared" si="55"/>
        <v>383983297.46523815</v>
      </c>
      <c r="BR48" s="376">
        <f t="shared" si="55"/>
        <v>498839665.80887091</v>
      </c>
      <c r="BS48" s="376">
        <f t="shared" ref="BS48:CL49" si="56">BS4*BS14</f>
        <v>462136776.70313042</v>
      </c>
      <c r="BT48" s="376">
        <f t="shared" si="56"/>
        <v>422339719.04686475</v>
      </c>
      <c r="BU48" s="376">
        <f t="shared" si="56"/>
        <v>216757577.51937988</v>
      </c>
      <c r="BV48" s="376">
        <f t="shared" si="56"/>
        <v>304911337</v>
      </c>
      <c r="BW48" s="376">
        <f t="shared" si="56"/>
        <v>296476164.95898461</v>
      </c>
      <c r="BX48" s="376">
        <f t="shared" si="56"/>
        <v>302313693.91750538</v>
      </c>
      <c r="BY48" s="376">
        <f t="shared" si="56"/>
        <v>305445491.78158271</v>
      </c>
      <c r="BZ48" s="376">
        <f t="shared" si="56"/>
        <v>309317829.16913664</v>
      </c>
      <c r="CA48" s="376">
        <f t="shared" si="56"/>
        <v>331013338.95160294</v>
      </c>
      <c r="CB48" s="376">
        <f t="shared" si="56"/>
        <v>387430433.51402414</v>
      </c>
      <c r="CC48" s="376">
        <f t="shared" si="56"/>
        <v>401306632.7953257</v>
      </c>
      <c r="CD48" s="376">
        <f t="shared" si="56"/>
        <v>459550694.32154572</v>
      </c>
      <c r="CE48" s="376">
        <f t="shared" si="56"/>
        <v>504916903.97234732</v>
      </c>
      <c r="CF48" s="376">
        <f t="shared" si="56"/>
        <v>513723584.20511931</v>
      </c>
      <c r="CG48" s="376">
        <f t="shared" si="56"/>
        <v>468121623.78720415</v>
      </c>
      <c r="CH48" s="376">
        <f t="shared" si="56"/>
        <v>413099474.54769146</v>
      </c>
      <c r="CI48" s="376">
        <f t="shared" si="56"/>
        <v>458131228.0794524</v>
      </c>
      <c r="CJ48" s="376">
        <f t="shared" si="56"/>
        <v>547141941.14295363</v>
      </c>
      <c r="CK48" s="376">
        <f t="shared" si="56"/>
        <v>575501124.98956645</v>
      </c>
      <c r="CL48" s="382">
        <f t="shared" si="56"/>
        <v>579275174.2837553</v>
      </c>
      <c r="CM48" s="319">
        <f t="shared" si="27"/>
        <v>370766577.18392479</v>
      </c>
      <c r="CN48" s="58"/>
      <c r="CO48" s="58"/>
      <c r="CP48" s="58"/>
      <c r="CQ48" s="58"/>
      <c r="CR48" s="58"/>
      <c r="CS48" s="58"/>
      <c r="CT48" s="58"/>
      <c r="CU48" s="58"/>
      <c r="CV48" s="58"/>
      <c r="CW48" s="58"/>
      <c r="CX48" s="58"/>
      <c r="CY48" s="58"/>
      <c r="CZ48" s="58"/>
      <c r="DA48" s="58"/>
      <c r="DB48" s="58"/>
      <c r="DC48" s="58"/>
      <c r="DD48" s="58"/>
      <c r="DE48" s="58"/>
      <c r="DF48" s="58"/>
      <c r="DG48" s="58"/>
      <c r="DH48" s="58"/>
      <c r="DI48" s="58"/>
      <c r="DJ48" s="58"/>
      <c r="DK48" s="58"/>
      <c r="DL48" s="58"/>
      <c r="DM48" s="58"/>
      <c r="DN48" s="58"/>
      <c r="DO48" s="58"/>
      <c r="DP48" s="58"/>
      <c r="DQ48" s="58"/>
      <c r="DR48" s="58"/>
      <c r="DS48" s="58"/>
      <c r="DT48" s="58"/>
      <c r="DU48" s="58"/>
      <c r="DV48" s="58"/>
      <c r="DW48" s="58"/>
      <c r="DX48" s="58"/>
      <c r="DY48" s="58"/>
      <c r="DZ48" s="58"/>
      <c r="EA48" s="58"/>
      <c r="EB48" s="58"/>
      <c r="EC48" s="58"/>
      <c r="ED48" s="58"/>
      <c r="EE48" s="58"/>
      <c r="EF48" s="58"/>
      <c r="EG48" s="58"/>
      <c r="EH48" s="58"/>
      <c r="EI48" s="58"/>
      <c r="EJ48" s="58"/>
      <c r="EK48" s="58"/>
      <c r="EL48" s="58"/>
      <c r="EM48" s="58"/>
      <c r="EN48" s="58"/>
      <c r="EO48" s="58"/>
      <c r="EP48" s="58"/>
      <c r="EQ48" s="58"/>
      <c r="ER48" s="58"/>
      <c r="ES48" s="58"/>
      <c r="ET48" s="58"/>
      <c r="EU48" s="58"/>
      <c r="EV48" s="58"/>
      <c r="EW48" s="58"/>
      <c r="EX48" s="58"/>
      <c r="EY48" s="58"/>
      <c r="EZ48" s="58"/>
      <c r="FA48" s="58"/>
      <c r="FB48" s="58"/>
      <c r="FC48" s="58"/>
      <c r="FD48" s="58"/>
      <c r="FE48" s="58"/>
      <c r="FF48" s="58"/>
      <c r="FG48" s="58"/>
      <c r="FH48" s="58"/>
      <c r="FI48" s="58"/>
      <c r="FJ48" s="58"/>
      <c r="FK48" s="58"/>
      <c r="FL48" s="58"/>
      <c r="FM48" s="58"/>
      <c r="FN48" s="58"/>
      <c r="FO48" s="58"/>
      <c r="FP48" s="58"/>
      <c r="FQ48" s="58"/>
      <c r="FR48" s="58"/>
      <c r="FS48" s="58"/>
      <c r="FT48" s="58"/>
      <c r="FU48" s="58"/>
      <c r="FV48" s="58"/>
    </row>
    <row r="49" spans="1:178">
      <c r="A49" s="463" t="s">
        <v>332</v>
      </c>
      <c r="B49" s="52" t="s">
        <v>312</v>
      </c>
      <c r="C49" s="362" t="s">
        <v>326</v>
      </c>
      <c r="D49" s="362"/>
      <c r="E49" s="58"/>
      <c r="F49" s="382" t="s">
        <v>1</v>
      </c>
      <c r="G49" s="464">
        <f t="shared" si="55"/>
        <v>3239775000</v>
      </c>
      <c r="H49" s="464">
        <f t="shared" si="55"/>
        <v>3275475000</v>
      </c>
      <c r="I49" s="464">
        <f t="shared" si="55"/>
        <v>3043425000</v>
      </c>
      <c r="J49" s="464">
        <f t="shared" si="55"/>
        <v>2989875000</v>
      </c>
      <c r="K49" s="464">
        <f t="shared" si="55"/>
        <v>2963100000</v>
      </c>
      <c r="L49" s="464">
        <f t="shared" si="55"/>
        <v>3056812500</v>
      </c>
      <c r="M49" s="464">
        <f t="shared" si="55"/>
        <v>3026467500</v>
      </c>
      <c r="N49" s="464">
        <f t="shared" si="55"/>
        <v>2995230000</v>
      </c>
      <c r="O49" s="464">
        <f t="shared" si="55"/>
        <v>2958637500</v>
      </c>
      <c r="P49" s="464">
        <f t="shared" si="55"/>
        <v>2918475000</v>
      </c>
      <c r="Q49" s="464">
        <f t="shared" si="55"/>
        <v>2900625000</v>
      </c>
      <c r="R49" s="464">
        <f t="shared" si="55"/>
        <v>2793525000</v>
      </c>
      <c r="S49" s="464">
        <f t="shared" si="55"/>
        <v>2824762500</v>
      </c>
      <c r="T49" s="464">
        <f t="shared" si="55"/>
        <v>2927400000</v>
      </c>
      <c r="U49" s="464">
        <f t="shared" si="55"/>
        <v>2350845000</v>
      </c>
      <c r="V49" s="464">
        <f t="shared" si="55"/>
        <v>2541840000</v>
      </c>
      <c r="W49" s="464">
        <f t="shared" si="55"/>
        <v>1786785000</v>
      </c>
      <c r="X49" s="464">
        <f t="shared" si="55"/>
        <v>2290155000</v>
      </c>
      <c r="Y49" s="464">
        <f t="shared" si="55"/>
        <v>2527560000</v>
      </c>
      <c r="Z49" s="464">
        <f t="shared" si="55"/>
        <v>2717662500</v>
      </c>
      <c r="AA49" s="464">
        <f t="shared" si="55"/>
        <v>2604315000</v>
      </c>
      <c r="AB49" s="464">
        <f t="shared" si="55"/>
        <v>2852430000</v>
      </c>
      <c r="AC49" s="464">
        <f t="shared" si="55"/>
        <v>2368695000</v>
      </c>
      <c r="AD49" s="464">
        <f t="shared" si="55"/>
        <v>2466870000</v>
      </c>
      <c r="AE49" s="464">
        <f t="shared" si="55"/>
        <v>2108085000</v>
      </c>
      <c r="AF49" s="464">
        <f t="shared" si="55"/>
        <v>2584680000</v>
      </c>
      <c r="AG49" s="464">
        <f t="shared" si="55"/>
        <v>2615025000</v>
      </c>
      <c r="AH49" s="464">
        <f t="shared" si="55"/>
        <v>3397747500</v>
      </c>
      <c r="AI49" s="464">
        <f t="shared" si="55"/>
        <v>3361155000</v>
      </c>
      <c r="AJ49" s="464">
        <f t="shared" si="55"/>
        <v>3150525000</v>
      </c>
      <c r="AK49" s="464">
        <f t="shared" si="55"/>
        <v>3237097500</v>
      </c>
      <c r="AL49" s="464">
        <f t="shared" si="55"/>
        <v>2839935000</v>
      </c>
      <c r="AM49" s="464">
        <f t="shared" si="55"/>
        <v>2691780000</v>
      </c>
      <c r="AN49" s="464">
        <f t="shared" si="55"/>
        <v>2732835000</v>
      </c>
      <c r="AO49" s="464">
        <f t="shared" si="55"/>
        <v>2858677500</v>
      </c>
      <c r="AP49" s="464">
        <f t="shared" si="55"/>
        <v>2358877500</v>
      </c>
      <c r="AQ49" s="464">
        <f t="shared" si="55"/>
        <v>3611947500</v>
      </c>
      <c r="AR49" s="464">
        <f t="shared" si="55"/>
        <v>3316530000</v>
      </c>
      <c r="AS49" s="464">
        <f t="shared" si="55"/>
        <v>3148740000</v>
      </c>
      <c r="AT49" s="464">
        <f t="shared" si="55"/>
        <v>3344100915.87115</v>
      </c>
      <c r="AU49" s="376">
        <f t="shared" si="55"/>
        <v>3121946727.3767152</v>
      </c>
      <c r="AV49" s="376">
        <f t="shared" si="55"/>
        <v>3301823990.9716387</v>
      </c>
      <c r="AW49" s="376">
        <f t="shared" si="55"/>
        <v>3428220547.0466127</v>
      </c>
      <c r="AX49" s="376">
        <f t="shared" si="55"/>
        <v>3844684427.9934154</v>
      </c>
      <c r="AY49" s="376">
        <f t="shared" si="55"/>
        <v>3778765922.0597878</v>
      </c>
      <c r="AZ49" s="376">
        <f t="shared" si="55"/>
        <v>3942779428.1923556</v>
      </c>
      <c r="BA49" s="376">
        <f t="shared" si="55"/>
        <v>4056401165.3710022</v>
      </c>
      <c r="BB49" s="376">
        <f t="shared" si="55"/>
        <v>4317454045.5471306</v>
      </c>
      <c r="BC49" s="376">
        <f t="shared" si="55"/>
        <v>4438981599.3326464</v>
      </c>
      <c r="BD49" s="376">
        <f t="shared" si="55"/>
        <v>3262864158.7059698</v>
      </c>
      <c r="BE49" s="376">
        <f t="shared" si="55"/>
        <v>2801336355.6697011</v>
      </c>
      <c r="BF49" s="376">
        <f t="shared" si="55"/>
        <v>2851956998.598731</v>
      </c>
      <c r="BG49" s="376">
        <f t="shared" si="55"/>
        <v>3167356662.5489411</v>
      </c>
      <c r="BH49" s="376">
        <f t="shared" si="55"/>
        <v>3315791051.3813901</v>
      </c>
      <c r="BI49" s="376">
        <f t="shared" si="55"/>
        <v>3590035551.4572301</v>
      </c>
      <c r="BJ49" s="376">
        <f t="shared" si="55"/>
        <v>3550080119.0312848</v>
      </c>
      <c r="BK49" s="376">
        <f t="shared" si="55"/>
        <v>2927943650.5872617</v>
      </c>
      <c r="BL49" s="376">
        <f t="shared" si="55"/>
        <v>3110544069.9413891</v>
      </c>
      <c r="BM49" s="376">
        <f t="shared" si="55"/>
        <v>2922349522.0545583</v>
      </c>
      <c r="BN49" s="376">
        <f t="shared" si="55"/>
        <v>3029278381.5249705</v>
      </c>
      <c r="BO49" s="376">
        <f t="shared" si="55"/>
        <v>3227375569.5835009</v>
      </c>
      <c r="BP49" s="376">
        <f t="shared" si="55"/>
        <v>3231590568.6679096</v>
      </c>
      <c r="BQ49" s="376">
        <f t="shared" si="55"/>
        <v>3499706961.4682078</v>
      </c>
      <c r="BR49" s="376">
        <f t="shared" si="55"/>
        <v>3391991767.4153419</v>
      </c>
      <c r="BS49" s="376">
        <f t="shared" si="56"/>
        <v>3029941038.1780415</v>
      </c>
      <c r="BT49" s="376">
        <f t="shared" si="56"/>
        <v>1948348073.9442811</v>
      </c>
      <c r="BU49" s="376">
        <f t="shared" si="56"/>
        <v>3714406502.2709646</v>
      </c>
      <c r="BV49" s="376">
        <f t="shared" si="56"/>
        <v>3239160067.7741375</v>
      </c>
      <c r="BW49" s="376">
        <f t="shared" si="56"/>
        <v>3590577480.8213158</v>
      </c>
      <c r="BX49" s="376">
        <f t="shared" si="56"/>
        <v>2586867225.5116982</v>
      </c>
      <c r="BY49" s="376">
        <f t="shared" si="56"/>
        <v>2614688048.9271765</v>
      </c>
      <c r="BZ49" s="376">
        <f t="shared" si="56"/>
        <v>2505360700.482172</v>
      </c>
      <c r="CA49" s="376">
        <f t="shared" si="56"/>
        <v>2072326122.1417568</v>
      </c>
      <c r="CB49" s="376">
        <f t="shared" si="56"/>
        <v>2470452331.662117</v>
      </c>
      <c r="CC49" s="376">
        <f t="shared" si="56"/>
        <v>2846764991.0271387</v>
      </c>
      <c r="CD49" s="376">
        <f t="shared" si="56"/>
        <v>3244471068.4041305</v>
      </c>
      <c r="CE49" s="376">
        <f t="shared" si="56"/>
        <v>3582028533.3397489</v>
      </c>
      <c r="CF49" s="376">
        <f t="shared" si="56"/>
        <v>3832720513.8149548</v>
      </c>
      <c r="CG49" s="376">
        <f t="shared" si="56"/>
        <v>3664737652.9341831</v>
      </c>
      <c r="CH49" s="376">
        <f t="shared" si="56"/>
        <v>3861496681.4667935</v>
      </c>
      <c r="CI49" s="376">
        <f t="shared" si="56"/>
        <v>4173725136.5895276</v>
      </c>
      <c r="CJ49" s="376">
        <f t="shared" si="56"/>
        <v>4448948602.799448</v>
      </c>
      <c r="CK49" s="376">
        <f t="shared" si="56"/>
        <v>4280329243.134551</v>
      </c>
      <c r="CL49" s="382">
        <f t="shared" si="56"/>
        <v>4390922965.6828775</v>
      </c>
      <c r="CM49" s="319">
        <f t="shared" si="27"/>
        <v>3118904918.325069</v>
      </c>
      <c r="CN49" s="58"/>
      <c r="CO49" s="58"/>
      <c r="CP49" s="58"/>
      <c r="CQ49" s="58"/>
      <c r="CR49" s="58"/>
      <c r="CS49" s="58"/>
      <c r="CT49" s="58"/>
      <c r="CU49" s="58"/>
      <c r="CV49" s="58"/>
      <c r="CW49" s="58"/>
      <c r="CX49" s="58"/>
      <c r="CY49" s="58"/>
      <c r="CZ49" s="58"/>
      <c r="DA49" s="58"/>
      <c r="DB49" s="58"/>
      <c r="DC49" s="58"/>
      <c r="DD49" s="58"/>
      <c r="DE49" s="58"/>
      <c r="DF49" s="58"/>
      <c r="DG49" s="58"/>
      <c r="DH49" s="58"/>
      <c r="DI49" s="58"/>
      <c r="DJ49" s="58"/>
      <c r="DK49" s="58"/>
      <c r="DL49" s="58"/>
      <c r="DM49" s="58"/>
      <c r="DN49" s="58"/>
      <c r="DO49" s="58"/>
      <c r="DP49" s="58"/>
      <c r="DQ49" s="58"/>
      <c r="DR49" s="58"/>
      <c r="DS49" s="58"/>
      <c r="DT49" s="58"/>
      <c r="DU49" s="58"/>
      <c r="DV49" s="58"/>
      <c r="DW49" s="58"/>
      <c r="DX49" s="490"/>
      <c r="DY49" s="58"/>
      <c r="DZ49" s="58"/>
      <c r="EA49" s="58"/>
      <c r="EB49" s="58"/>
      <c r="EC49" s="58"/>
      <c r="ED49" s="58"/>
      <c r="EE49" s="58"/>
      <c r="EF49" s="58"/>
      <c r="EG49" s="58"/>
      <c r="EH49" s="58"/>
      <c r="EI49" s="58"/>
      <c r="EJ49" s="58"/>
      <c r="EK49" s="58"/>
      <c r="EL49" s="58"/>
      <c r="EM49" s="58"/>
      <c r="EN49" s="58"/>
      <c r="EO49" s="58"/>
      <c r="EP49" s="58"/>
      <c r="EQ49" s="58"/>
      <c r="ER49" s="58"/>
      <c r="ES49" s="58"/>
      <c r="ET49" s="58"/>
      <c r="EU49" s="58"/>
      <c r="EV49" s="58"/>
      <c r="EW49" s="58"/>
      <c r="EX49" s="58"/>
      <c r="EY49" s="58"/>
      <c r="EZ49" s="58"/>
      <c r="FA49" s="58"/>
      <c r="FB49" s="58"/>
      <c r="FC49" s="58"/>
      <c r="FD49" s="58"/>
      <c r="FE49" s="58"/>
      <c r="FF49" s="58"/>
      <c r="FG49" s="58"/>
      <c r="FH49" s="58"/>
      <c r="FI49" s="58"/>
      <c r="FJ49" s="58"/>
      <c r="FK49" s="58"/>
      <c r="FL49" s="58"/>
      <c r="FM49" s="58"/>
      <c r="FN49" s="58"/>
      <c r="FO49" s="58"/>
      <c r="FP49" s="58"/>
      <c r="FQ49" s="58"/>
      <c r="FR49" s="58"/>
      <c r="FS49" s="58"/>
      <c r="FT49" s="58"/>
      <c r="FU49" s="58"/>
      <c r="FV49" s="58"/>
    </row>
    <row r="50" spans="1:178">
      <c r="A50" s="463" t="s">
        <v>333</v>
      </c>
      <c r="B50" s="52" t="s">
        <v>312</v>
      </c>
      <c r="C50" s="362" t="s">
        <v>326</v>
      </c>
      <c r="D50" s="362"/>
      <c r="E50" s="58"/>
      <c r="F50" s="382" t="s">
        <v>334</v>
      </c>
      <c r="G50" s="464">
        <f t="shared" ref="G50:BR50" si="57">G46*$CO$4+G47*$CP$4+G48*$CQ$4+G49*$CR$4</f>
        <v>5070367208.3069115</v>
      </c>
      <c r="H50" s="464">
        <f t="shared" si="57"/>
        <v>5006236112.8725424</v>
      </c>
      <c r="I50" s="464">
        <f t="shared" si="57"/>
        <v>4396578249.8414707</v>
      </c>
      <c r="J50" s="464">
        <f t="shared" si="57"/>
        <v>4224550432.2553368</v>
      </c>
      <c r="K50" s="464">
        <f t="shared" si="57"/>
        <v>4227181227.5417452</v>
      </c>
      <c r="L50" s="464">
        <f t="shared" si="57"/>
        <v>4348519829.3172693</v>
      </c>
      <c r="M50" s="464">
        <f t="shared" si="57"/>
        <v>4277684579.3701115</v>
      </c>
      <c r="N50" s="464">
        <f t="shared" si="57"/>
        <v>4224715460.7905302</v>
      </c>
      <c r="O50" s="464">
        <f t="shared" si="57"/>
        <v>4142470056.5419569</v>
      </c>
      <c r="P50" s="464">
        <f t="shared" si="57"/>
        <v>4082744456.774466</v>
      </c>
      <c r="Q50" s="464">
        <f t="shared" si="57"/>
        <v>4046753591.206933</v>
      </c>
      <c r="R50" s="464">
        <f t="shared" si="57"/>
        <v>3905174112.2384272</v>
      </c>
      <c r="S50" s="464">
        <f t="shared" si="57"/>
        <v>4025159874.0224051</v>
      </c>
      <c r="T50" s="464">
        <f t="shared" si="57"/>
        <v>4007896296.9773831</v>
      </c>
      <c r="U50" s="464">
        <f t="shared" si="57"/>
        <v>3622965055.0623541</v>
      </c>
      <c r="V50" s="464">
        <f t="shared" si="57"/>
        <v>4064728707.0386806</v>
      </c>
      <c r="W50" s="464">
        <f t="shared" si="57"/>
        <v>3560323475.5865564</v>
      </c>
      <c r="X50" s="464">
        <f t="shared" si="57"/>
        <v>3534194235.4681883</v>
      </c>
      <c r="Y50" s="464">
        <f t="shared" si="57"/>
        <v>2998775308.708518</v>
      </c>
      <c r="Z50" s="464">
        <f t="shared" si="57"/>
        <v>3288667347.1781864</v>
      </c>
      <c r="AA50" s="464">
        <f t="shared" si="57"/>
        <v>3159680413.8659902</v>
      </c>
      <c r="AB50" s="464">
        <f t="shared" si="57"/>
        <v>3323926027.2669621</v>
      </c>
      <c r="AC50" s="464">
        <f t="shared" si="57"/>
        <v>3153124465.4407101</v>
      </c>
      <c r="AD50" s="464">
        <f t="shared" si="57"/>
        <v>3126101124.8150496</v>
      </c>
      <c r="AE50" s="464">
        <f t="shared" si="57"/>
        <v>2624616744.9799194</v>
      </c>
      <c r="AF50" s="464">
        <f t="shared" si="57"/>
        <v>3323206084.3373489</v>
      </c>
      <c r="AG50" s="464">
        <f t="shared" si="57"/>
        <v>3401090065.6309443</v>
      </c>
      <c r="AH50" s="464">
        <f t="shared" si="57"/>
        <v>4134668828.4717817</v>
      </c>
      <c r="AI50" s="464">
        <f t="shared" si="57"/>
        <v>4273527050.7292323</v>
      </c>
      <c r="AJ50" s="464">
        <f t="shared" si="57"/>
        <v>4576444295.8148384</v>
      </c>
      <c r="AK50" s="464">
        <f t="shared" si="57"/>
        <v>4701135827.7319803</v>
      </c>
      <c r="AL50" s="464">
        <f t="shared" si="57"/>
        <v>4092338679.0319176</v>
      </c>
      <c r="AM50" s="464">
        <f t="shared" si="57"/>
        <v>3874305344.4303522</v>
      </c>
      <c r="AN50" s="464">
        <f t="shared" si="57"/>
        <v>3961733965.5463958</v>
      </c>
      <c r="AO50" s="464">
        <f t="shared" si="57"/>
        <v>3523271572.5005283</v>
      </c>
      <c r="AP50" s="464">
        <f t="shared" si="57"/>
        <v>3438190059.6068487</v>
      </c>
      <c r="AQ50" s="464">
        <f t="shared" si="57"/>
        <v>5402726365.9902763</v>
      </c>
      <c r="AR50" s="464">
        <f t="shared" si="57"/>
        <v>5270281605.4745293</v>
      </c>
      <c r="AS50" s="464">
        <f t="shared" si="57"/>
        <v>5266860964.7009087</v>
      </c>
      <c r="AT50" s="464">
        <f t="shared" si="57"/>
        <v>5289909512.6914082</v>
      </c>
      <c r="AU50" s="376">
        <f t="shared" si="57"/>
        <v>5090255888.5242186</v>
      </c>
      <c r="AV50" s="376">
        <f t="shared" si="57"/>
        <v>5612742585.2634468</v>
      </c>
      <c r="AW50" s="376">
        <f t="shared" si="57"/>
        <v>5617692338.9153156</v>
      </c>
      <c r="AX50" s="376">
        <f t="shared" si="57"/>
        <v>5265189445.2282009</v>
      </c>
      <c r="AY50" s="376">
        <f t="shared" si="57"/>
        <v>6181637694.7595539</v>
      </c>
      <c r="AZ50" s="376">
        <f t="shared" si="57"/>
        <v>6680940397.3227768</v>
      </c>
      <c r="BA50" s="376">
        <f t="shared" si="57"/>
        <v>6915223119.6275511</v>
      </c>
      <c r="BB50" s="376">
        <f t="shared" si="57"/>
        <v>7167503739.103097</v>
      </c>
      <c r="BC50" s="376">
        <f t="shared" si="57"/>
        <v>5888810726.1876659</v>
      </c>
      <c r="BD50" s="376">
        <f t="shared" si="57"/>
        <v>4758665597.6891718</v>
      </c>
      <c r="BE50" s="376">
        <f t="shared" si="57"/>
        <v>4333773030.310051</v>
      </c>
      <c r="BF50" s="376">
        <f t="shared" si="57"/>
        <v>4408141662.0889282</v>
      </c>
      <c r="BG50" s="376">
        <f t="shared" si="57"/>
        <v>4576519126.1557055</v>
      </c>
      <c r="BH50" s="376">
        <f t="shared" si="57"/>
        <v>4724410483.3882542</v>
      </c>
      <c r="BI50" s="376">
        <f t="shared" si="57"/>
        <v>5027308365.592679</v>
      </c>
      <c r="BJ50" s="376">
        <f t="shared" si="57"/>
        <v>5006716020.161232</v>
      </c>
      <c r="BK50" s="376">
        <f t="shared" si="57"/>
        <v>4519601395.046854</v>
      </c>
      <c r="BL50" s="376">
        <f t="shared" si="57"/>
        <v>4558382456.821373</v>
      </c>
      <c r="BM50" s="376">
        <f t="shared" si="57"/>
        <v>4529486307.0533123</v>
      </c>
      <c r="BN50" s="376">
        <f t="shared" si="57"/>
        <v>4471859382.090004</v>
      </c>
      <c r="BO50" s="376">
        <f t="shared" si="57"/>
        <v>4540044692.4197426</v>
      </c>
      <c r="BP50" s="376">
        <f t="shared" si="57"/>
        <v>4560624411.7770634</v>
      </c>
      <c r="BQ50" s="376">
        <f t="shared" si="57"/>
        <v>4761303211.8532124</v>
      </c>
      <c r="BR50" s="376">
        <f t="shared" si="57"/>
        <v>4942303793.5187807</v>
      </c>
      <c r="BS50" s="376">
        <f t="shared" ref="BS50:CL50" si="58">BS46*$CO$4+BS47*$CP$4+BS48*$CQ$4+BS49*$CR$4</f>
        <v>4682870150.9144554</v>
      </c>
      <c r="BT50" s="376">
        <f t="shared" si="58"/>
        <v>3913765498.9820299</v>
      </c>
      <c r="BU50" s="376">
        <f t="shared" si="58"/>
        <v>4357531596.0899982</v>
      </c>
      <c r="BV50" s="376">
        <f t="shared" si="58"/>
        <v>4270315024.5514746</v>
      </c>
      <c r="BW50" s="376">
        <f t="shared" si="58"/>
        <v>4523022527.4737825</v>
      </c>
      <c r="BX50" s="376">
        <f t="shared" si="58"/>
        <v>3903111555.4109888</v>
      </c>
      <c r="BY50" s="376">
        <f t="shared" si="58"/>
        <v>3963689975.1902709</v>
      </c>
      <c r="BZ50" s="376">
        <f t="shared" si="58"/>
        <v>3962098403.0345221</v>
      </c>
      <c r="CA50" s="376">
        <f t="shared" si="58"/>
        <v>3473809543.0539508</v>
      </c>
      <c r="CB50" s="376">
        <f t="shared" si="58"/>
        <v>3740264596.6647778</v>
      </c>
      <c r="CC50" s="376">
        <f t="shared" si="58"/>
        <v>4090809463.6376619</v>
      </c>
      <c r="CD50" s="376">
        <f t="shared" si="58"/>
        <v>4386130427.593605</v>
      </c>
      <c r="CE50" s="376">
        <f t="shared" si="58"/>
        <v>4710803572.1969881</v>
      </c>
      <c r="CF50" s="376">
        <f t="shared" si="58"/>
        <v>4895656576.4510326</v>
      </c>
      <c r="CG50" s="376">
        <f t="shared" si="58"/>
        <v>4683738144.5641861</v>
      </c>
      <c r="CH50" s="376">
        <f t="shared" si="58"/>
        <v>4712804203.5367222</v>
      </c>
      <c r="CI50" s="376">
        <f t="shared" si="58"/>
        <v>4949628263.4761343</v>
      </c>
      <c r="CJ50" s="376">
        <f t="shared" si="58"/>
        <v>5281698274.4097672</v>
      </c>
      <c r="CK50" s="376">
        <f t="shared" si="58"/>
        <v>5175673857.5391254</v>
      </c>
      <c r="CL50" s="382">
        <f t="shared" si="58"/>
        <v>5248087902.1545095</v>
      </c>
      <c r="CM50" s="319">
        <f t="shared" si="27"/>
        <v>4452827024.3331203</v>
      </c>
      <c r="CN50" s="58"/>
      <c r="CO50" s="58"/>
      <c r="CP50" s="58"/>
      <c r="CQ50" s="58"/>
      <c r="CR50" s="58"/>
      <c r="CS50" s="58"/>
      <c r="CT50" s="58"/>
      <c r="CU50" s="58"/>
      <c r="CV50" s="58"/>
      <c r="CW50" s="58"/>
      <c r="CX50" s="58"/>
      <c r="CY50" s="58"/>
      <c r="CZ50" s="58"/>
      <c r="DA50" s="58"/>
      <c r="DB50" s="58"/>
      <c r="DC50" s="58"/>
      <c r="DD50" s="58"/>
      <c r="DE50" s="58"/>
      <c r="DF50" s="58"/>
      <c r="DG50" s="58"/>
      <c r="DH50" s="58"/>
      <c r="DI50" s="58"/>
      <c r="DJ50" s="58"/>
      <c r="DK50" s="58"/>
      <c r="DL50" s="58"/>
      <c r="DM50" s="58"/>
      <c r="DN50" s="58"/>
      <c r="DO50" s="58"/>
      <c r="DP50" s="58"/>
      <c r="DQ50" s="58"/>
      <c r="DR50" s="58"/>
      <c r="DS50" s="58"/>
      <c r="DT50" s="58"/>
      <c r="DU50" s="58"/>
      <c r="DV50" s="58"/>
      <c r="DW50" s="58"/>
      <c r="DX50" s="58"/>
      <c r="DY50" s="58"/>
      <c r="DZ50" s="58"/>
      <c r="EA50" s="58"/>
      <c r="EB50" s="58"/>
      <c r="EC50" s="58"/>
      <c r="ED50" s="58"/>
      <c r="EE50" s="58"/>
      <c r="EF50" s="58"/>
      <c r="EG50" s="58"/>
      <c r="EH50" s="58"/>
      <c r="EI50" s="58"/>
      <c r="EJ50" s="58"/>
      <c r="EK50" s="58"/>
      <c r="EL50" s="58"/>
      <c r="EM50" s="58"/>
      <c r="EN50" s="58"/>
      <c r="EO50" s="58"/>
      <c r="EP50" s="58"/>
      <c r="EQ50" s="58"/>
      <c r="ER50" s="58"/>
      <c r="ES50" s="58"/>
      <c r="ET50" s="58"/>
      <c r="EU50" s="58"/>
      <c r="EV50" s="58"/>
      <c r="EW50" s="58"/>
      <c r="EX50" s="58"/>
      <c r="EY50" s="58"/>
      <c r="EZ50" s="58"/>
      <c r="FA50" s="58"/>
      <c r="FB50" s="58"/>
      <c r="FC50" s="58"/>
      <c r="FD50" s="58"/>
      <c r="FE50" s="58"/>
      <c r="FF50" s="58"/>
      <c r="FG50" s="58"/>
      <c r="FH50" s="58"/>
      <c r="FI50" s="58"/>
      <c r="FJ50" s="58"/>
      <c r="FK50" s="58"/>
      <c r="FL50" s="58"/>
      <c r="FM50" s="58"/>
      <c r="FN50" s="58"/>
      <c r="FO50" s="58"/>
      <c r="FP50" s="58"/>
      <c r="FQ50" s="58"/>
      <c r="FR50" s="58"/>
      <c r="FS50" s="58"/>
      <c r="FT50" s="58"/>
      <c r="FU50" s="58"/>
      <c r="FV50" s="58"/>
    </row>
    <row r="51" spans="1:178">
      <c r="A51" s="463" t="s">
        <v>335</v>
      </c>
      <c r="B51" s="52" t="s">
        <v>312</v>
      </c>
      <c r="C51" s="362" t="s">
        <v>326</v>
      </c>
      <c r="D51" s="362"/>
      <c r="E51" s="58"/>
      <c r="F51" s="382" t="s">
        <v>336</v>
      </c>
      <c r="G51" s="464">
        <f t="shared" ref="G51:BR51" si="59">$CO$5*G46+G47*$CP$5+G48*$CQ$5+G49*$CR$5</f>
        <v>1847403625.026422</v>
      </c>
      <c r="H51" s="464">
        <f t="shared" si="59"/>
        <v>1847613887.1274576</v>
      </c>
      <c r="I51" s="464">
        <f t="shared" si="59"/>
        <v>1697221750.158529</v>
      </c>
      <c r="J51" s="464">
        <f t="shared" si="59"/>
        <v>1658241234.41133</v>
      </c>
      <c r="K51" s="464">
        <f t="shared" si="59"/>
        <v>1642431272.4582543</v>
      </c>
      <c r="L51" s="464">
        <f t="shared" si="59"/>
        <v>1688384337.3493979</v>
      </c>
      <c r="M51" s="464">
        <f t="shared" si="59"/>
        <v>1666720420.6298883</v>
      </c>
      <c r="N51" s="464">
        <f t="shared" si="59"/>
        <v>1648872872.542803</v>
      </c>
      <c r="O51" s="464">
        <f t="shared" si="59"/>
        <v>1616742443.4580431</v>
      </c>
      <c r="P51" s="464">
        <f t="shared" si="59"/>
        <v>1595030543.225534</v>
      </c>
      <c r="Q51" s="464">
        <f t="shared" si="59"/>
        <v>1584306408.7930675</v>
      </c>
      <c r="R51" s="464">
        <f t="shared" si="59"/>
        <v>1525700887.7615728</v>
      </c>
      <c r="S51" s="464">
        <f t="shared" si="59"/>
        <v>1552539459.3109281</v>
      </c>
      <c r="T51" s="464">
        <f t="shared" si="59"/>
        <v>1575772703.0226171</v>
      </c>
      <c r="U51" s="464">
        <f t="shared" si="59"/>
        <v>1344756111.6043124</v>
      </c>
      <c r="V51" s="464">
        <f t="shared" si="59"/>
        <v>1465224959.627986</v>
      </c>
      <c r="W51" s="464">
        <f t="shared" si="59"/>
        <v>1155340191.0801101</v>
      </c>
      <c r="X51" s="464">
        <f t="shared" si="59"/>
        <v>1297291097.8651452</v>
      </c>
      <c r="Y51" s="464">
        <f t="shared" si="59"/>
        <v>1348442524.6248152</v>
      </c>
      <c r="Z51" s="464">
        <f t="shared" si="59"/>
        <v>1439883152.8218138</v>
      </c>
      <c r="AA51" s="464">
        <f t="shared" si="59"/>
        <v>1390561586.1340098</v>
      </c>
      <c r="AB51" s="464">
        <f t="shared" si="59"/>
        <v>1507488972.7330375</v>
      </c>
      <c r="AC51" s="464">
        <f t="shared" si="59"/>
        <v>1280496201.2259567</v>
      </c>
      <c r="AD51" s="464">
        <f t="shared" si="59"/>
        <v>1313784041.8516173</v>
      </c>
      <c r="AE51" s="464">
        <f t="shared" si="59"/>
        <v>1147742755.0200806</v>
      </c>
      <c r="AF51" s="464">
        <f t="shared" si="59"/>
        <v>1379685582.3293176</v>
      </c>
      <c r="AG51" s="464">
        <f t="shared" si="59"/>
        <v>1431732767.7023888</v>
      </c>
      <c r="AH51" s="464">
        <f t="shared" si="59"/>
        <v>1784353671.5282183</v>
      </c>
      <c r="AI51" s="464">
        <f t="shared" si="59"/>
        <v>1792969282.6041012</v>
      </c>
      <c r="AJ51" s="464">
        <f t="shared" si="59"/>
        <v>1740405537.5184956</v>
      </c>
      <c r="AK51" s="464">
        <f t="shared" si="59"/>
        <v>1793976505.6013532</v>
      </c>
      <c r="AL51" s="464">
        <f t="shared" si="59"/>
        <v>1592610820.9680831</v>
      </c>
      <c r="AM51" s="464">
        <f t="shared" si="59"/>
        <v>1498680155.5696473</v>
      </c>
      <c r="AN51" s="464">
        <f t="shared" si="59"/>
        <v>1505165034.4536042</v>
      </c>
      <c r="AO51" s="464">
        <f t="shared" si="59"/>
        <v>1523195594.1661384</v>
      </c>
      <c r="AP51" s="464">
        <f t="shared" si="59"/>
        <v>1348044607.0598185</v>
      </c>
      <c r="AQ51" s="464">
        <f t="shared" si="59"/>
        <v>1991872800.6763902</v>
      </c>
      <c r="AR51" s="464">
        <f t="shared" si="59"/>
        <v>1876936227.8588042</v>
      </c>
      <c r="AS51" s="464">
        <f t="shared" si="59"/>
        <v>1818905035.2990916</v>
      </c>
      <c r="AT51" s="464">
        <f t="shared" si="59"/>
        <v>1895379467.3041728</v>
      </c>
      <c r="AU51" s="376">
        <f t="shared" si="59"/>
        <v>1755426117.3887753</v>
      </c>
      <c r="AV51" s="376">
        <f t="shared" si="59"/>
        <v>1806902714.6634812</v>
      </c>
      <c r="AW51" s="376">
        <f t="shared" si="59"/>
        <v>1861868384.4360368</v>
      </c>
      <c r="AX51" s="376">
        <f t="shared" si="59"/>
        <v>2064785277.4385438</v>
      </c>
      <c r="AY51" s="376">
        <f t="shared" si="59"/>
        <v>2097606291.1831384</v>
      </c>
      <c r="AZ51" s="376">
        <f t="shared" si="59"/>
        <v>2178488162.3632565</v>
      </c>
      <c r="BA51" s="376">
        <f t="shared" si="59"/>
        <v>2255051818.9764729</v>
      </c>
      <c r="BB51" s="376">
        <f t="shared" si="59"/>
        <v>2410012806.8937197</v>
      </c>
      <c r="BC51" s="376">
        <f t="shared" si="59"/>
        <v>2490848100.8546543</v>
      </c>
      <c r="BD51" s="376">
        <f t="shared" si="59"/>
        <v>1871733582.08639</v>
      </c>
      <c r="BE51" s="376">
        <f t="shared" si="59"/>
        <v>1581902132.593071</v>
      </c>
      <c r="BF51" s="376">
        <f t="shared" si="59"/>
        <v>1598052486.5115676</v>
      </c>
      <c r="BG51" s="376">
        <f t="shared" si="59"/>
        <v>1755402882.3468897</v>
      </c>
      <c r="BH51" s="376">
        <f t="shared" si="59"/>
        <v>1851020769.63872</v>
      </c>
      <c r="BI51" s="376">
        <f t="shared" si="59"/>
        <v>1985688473.0569499</v>
      </c>
      <c r="BJ51" s="376">
        <f t="shared" si="59"/>
        <v>1974163644.919282</v>
      </c>
      <c r="BK51" s="376">
        <f t="shared" si="59"/>
        <v>1622167461.9968359</v>
      </c>
      <c r="BL51" s="376">
        <f t="shared" si="59"/>
        <v>1647702032.4272075</v>
      </c>
      <c r="BM51" s="376">
        <f t="shared" si="59"/>
        <v>1578648057.2306957</v>
      </c>
      <c r="BN51" s="376">
        <f t="shared" si="59"/>
        <v>1613350854.120892</v>
      </c>
      <c r="BO51" s="376">
        <f t="shared" si="59"/>
        <v>1756434966.3171663</v>
      </c>
      <c r="BP51" s="376">
        <f t="shared" si="59"/>
        <v>1769151237.5135581</v>
      </c>
      <c r="BQ51" s="376">
        <f t="shared" si="59"/>
        <v>1889869308.7988231</v>
      </c>
      <c r="BR51" s="376">
        <f t="shared" si="59"/>
        <v>1959178673.1098249</v>
      </c>
      <c r="BS51" s="376">
        <f t="shared" ref="BS51:CL51" si="60">$CO$5*BS46+BS47*$CP$5+BS48*$CQ$5+BS49*$CR$5</f>
        <v>1761057728.612329</v>
      </c>
      <c r="BT51" s="376">
        <f t="shared" si="60"/>
        <v>1257456882.0527351</v>
      </c>
      <c r="BU51" s="376">
        <f t="shared" si="60"/>
        <v>1805945520.138442</v>
      </c>
      <c r="BV51" s="376">
        <f t="shared" si="60"/>
        <v>1703245228.6934123</v>
      </c>
      <c r="BW51" s="376">
        <f t="shared" si="60"/>
        <v>1853966449.7094119</v>
      </c>
      <c r="BX51" s="376">
        <f t="shared" si="60"/>
        <v>1436745711.058372</v>
      </c>
      <c r="BY51" s="376">
        <f t="shared" si="60"/>
        <v>1452158367.273463</v>
      </c>
      <c r="BZ51" s="376">
        <f t="shared" si="60"/>
        <v>1405404283.1756439</v>
      </c>
      <c r="CA51" s="376">
        <f t="shared" si="60"/>
        <v>1234355759.8886001</v>
      </c>
      <c r="CB51" s="376">
        <f t="shared" si="60"/>
        <v>1457119601.9809594</v>
      </c>
      <c r="CC51" s="376">
        <f t="shared" si="60"/>
        <v>1631405330.4810212</v>
      </c>
      <c r="CD51" s="376">
        <f t="shared" si="60"/>
        <v>1874593134.0856333</v>
      </c>
      <c r="CE51" s="376">
        <f t="shared" si="60"/>
        <v>2064389100.7713151</v>
      </c>
      <c r="CF51" s="376">
        <f t="shared" si="60"/>
        <v>2184657007.5302515</v>
      </c>
      <c r="CG51" s="376">
        <f t="shared" si="60"/>
        <v>2066431149.9931624</v>
      </c>
      <c r="CH51" s="376">
        <f t="shared" si="60"/>
        <v>2086805352.8077807</v>
      </c>
      <c r="CI51" s="376">
        <f t="shared" si="60"/>
        <v>2256907358.5170603</v>
      </c>
      <c r="CJ51" s="376">
        <f t="shared" si="60"/>
        <v>2462796312.464385</v>
      </c>
      <c r="CK51" s="376">
        <f t="shared" si="60"/>
        <v>2423124587.0660453</v>
      </c>
      <c r="CL51" s="382">
        <f t="shared" si="60"/>
        <v>2471012661.0539589</v>
      </c>
      <c r="CM51" s="319">
        <f t="shared" si="27"/>
        <v>1727106432.0800517</v>
      </c>
      <c r="CN51" s="58"/>
      <c r="CO51" s="58"/>
      <c r="CP51" s="58"/>
      <c r="CQ51" s="58"/>
      <c r="CR51" s="58"/>
      <c r="CS51" s="58"/>
      <c r="CT51" s="58"/>
      <c r="CU51" s="58"/>
      <c r="CV51" s="58"/>
      <c r="CW51" s="58"/>
      <c r="CX51" s="58"/>
      <c r="CY51" s="58"/>
      <c r="CZ51" s="58"/>
      <c r="DA51" s="58"/>
      <c r="DB51" s="58"/>
      <c r="DC51" s="58"/>
      <c r="DD51" s="58"/>
      <c r="DE51" s="58"/>
      <c r="DF51" s="58"/>
      <c r="DG51" s="58"/>
      <c r="DH51" s="58"/>
      <c r="DI51" s="58"/>
      <c r="DJ51" s="58"/>
      <c r="DK51" s="58"/>
      <c r="DL51" s="58"/>
      <c r="DM51" s="58"/>
      <c r="DN51" s="58"/>
      <c r="DO51" s="58"/>
      <c r="DP51" s="58"/>
      <c r="DQ51" s="58"/>
      <c r="DR51" s="58"/>
      <c r="DS51" s="58"/>
      <c r="DT51" s="58"/>
      <c r="DU51" s="58"/>
      <c r="DV51" s="58"/>
      <c r="DW51" s="58"/>
      <c r="DX51" s="58"/>
      <c r="DY51" s="58"/>
      <c r="DZ51" s="58"/>
      <c r="EA51" s="58"/>
      <c r="EB51" s="58"/>
      <c r="EC51" s="58"/>
      <c r="ED51" s="58"/>
      <c r="EE51" s="58"/>
      <c r="EF51" s="58"/>
      <c r="EG51" s="58"/>
      <c r="EH51" s="58"/>
      <c r="EI51" s="58"/>
      <c r="EJ51" s="58"/>
      <c r="EK51" s="58"/>
      <c r="EL51" s="58"/>
      <c r="EM51" s="58"/>
      <c r="EN51" s="58"/>
      <c r="EO51" s="58"/>
      <c r="EP51" s="58"/>
      <c r="EQ51" s="58"/>
      <c r="ER51" s="58"/>
      <c r="ES51" s="58"/>
      <c r="ET51" s="58"/>
      <c r="EU51" s="58"/>
      <c r="EV51" s="58"/>
      <c r="EW51" s="58"/>
      <c r="EX51" s="58"/>
      <c r="EY51" s="58"/>
      <c r="EZ51" s="58"/>
      <c r="FA51" s="58"/>
      <c r="FB51" s="58"/>
      <c r="FC51" s="58"/>
      <c r="FD51" s="58"/>
      <c r="FE51" s="58"/>
      <c r="FF51" s="58"/>
      <c r="FG51" s="58"/>
      <c r="FH51" s="58"/>
      <c r="FI51" s="58"/>
      <c r="FJ51" s="58"/>
      <c r="FK51" s="58"/>
      <c r="FL51" s="58"/>
      <c r="FM51" s="58"/>
      <c r="FN51" s="58"/>
      <c r="FO51" s="58"/>
      <c r="FP51" s="58"/>
      <c r="FQ51" s="58"/>
      <c r="FR51" s="58"/>
      <c r="FS51" s="58"/>
      <c r="FT51" s="58"/>
      <c r="FU51" s="58"/>
      <c r="FV51" s="58"/>
    </row>
    <row r="52" spans="1:178" s="314" customFormat="1">
      <c r="A52" s="463" t="s">
        <v>337</v>
      </c>
      <c r="B52" s="52" t="s">
        <v>312</v>
      </c>
      <c r="C52" s="463"/>
      <c r="D52" s="463"/>
      <c r="E52" s="17"/>
      <c r="F52" s="382" t="s">
        <v>338</v>
      </c>
      <c r="G52" s="465">
        <f>G50/(G2*G12+G13*G3+G4*G14+G15*G5)</f>
        <v>0.73294813177032503</v>
      </c>
      <c r="H52" s="465">
        <f t="shared" ref="H52:BS52" si="61">H50/(H2*H12+H13*H3+H4*H14+H15*H5)</f>
        <v>0.73042685685746589</v>
      </c>
      <c r="I52" s="465">
        <f t="shared" si="61"/>
        <v>0.72148384420910938</v>
      </c>
      <c r="J52" s="465">
        <f t="shared" si="61"/>
        <v>0.71812001369905232</v>
      </c>
      <c r="K52" s="465">
        <f t="shared" si="61"/>
        <v>0.72018062990388976</v>
      </c>
      <c r="L52" s="465">
        <f t="shared" si="61"/>
        <v>0.72032281932319375</v>
      </c>
      <c r="M52" s="465">
        <f t="shared" si="61"/>
        <v>0.71961526500467443</v>
      </c>
      <c r="N52" s="465">
        <f t="shared" si="61"/>
        <v>0.71927333361358536</v>
      </c>
      <c r="O52" s="465">
        <f t="shared" si="61"/>
        <v>0.71927716793606011</v>
      </c>
      <c r="P52" s="465">
        <f t="shared" si="61"/>
        <v>0.71907471796160749</v>
      </c>
      <c r="Q52" s="465">
        <f t="shared" si="61"/>
        <v>0.71864863652792421</v>
      </c>
      <c r="R52" s="465">
        <f t="shared" si="61"/>
        <v>0.71906904729687704</v>
      </c>
      <c r="S52" s="465">
        <f t="shared" si="61"/>
        <v>0.72165235762482316</v>
      </c>
      <c r="T52" s="465">
        <f t="shared" si="61"/>
        <v>0.71778901954563978</v>
      </c>
      <c r="U52" s="465">
        <f t="shared" si="61"/>
        <v>0.72930120945040033</v>
      </c>
      <c r="V52" s="465">
        <f t="shared" si="61"/>
        <v>0.73503847447040338</v>
      </c>
      <c r="W52" s="465">
        <f t="shared" si="61"/>
        <v>0.75499945018411818</v>
      </c>
      <c r="X52" s="465">
        <f t="shared" si="61"/>
        <v>0.73149228273241595</v>
      </c>
      <c r="Y52" s="465">
        <f t="shared" si="61"/>
        <v>0.68981482494727797</v>
      </c>
      <c r="Z52" s="465">
        <f t="shared" si="61"/>
        <v>0.6954916410807469</v>
      </c>
      <c r="AA52" s="465">
        <f t="shared" si="61"/>
        <v>0.69439832296084258</v>
      </c>
      <c r="AB52" s="465">
        <f t="shared" si="61"/>
        <v>0.68798189086778139</v>
      </c>
      <c r="AC52" s="465">
        <f t="shared" si="61"/>
        <v>0.71118498908733352</v>
      </c>
      <c r="AD52" s="465">
        <f t="shared" si="61"/>
        <v>0.70409504017916591</v>
      </c>
      <c r="AE52" s="465">
        <f t="shared" si="61"/>
        <v>0.69574936985192404</v>
      </c>
      <c r="AF52" s="465">
        <f t="shared" si="61"/>
        <v>0.70663037124407824</v>
      </c>
      <c r="AG52" s="465">
        <f t="shared" si="61"/>
        <v>0.7037481370458426</v>
      </c>
      <c r="AH52" s="465">
        <f t="shared" si="61"/>
        <v>0.69853913014721292</v>
      </c>
      <c r="AI52" s="465">
        <f t="shared" si="61"/>
        <v>0.70444731454755105</v>
      </c>
      <c r="AJ52" s="465">
        <f t="shared" si="61"/>
        <v>0.72448204667862082</v>
      </c>
      <c r="AK52" s="465">
        <f t="shared" si="61"/>
        <v>0.72379592322144282</v>
      </c>
      <c r="AL52" s="465">
        <f t="shared" si="61"/>
        <v>0.71985488684321952</v>
      </c>
      <c r="AM52" s="465">
        <f t="shared" si="61"/>
        <v>0.72107124510765053</v>
      </c>
      <c r="AN52" s="465">
        <f t="shared" si="61"/>
        <v>0.72467663396495818</v>
      </c>
      <c r="AO52" s="465">
        <f t="shared" si="61"/>
        <v>0.69816595573488061</v>
      </c>
      <c r="AP52" s="465">
        <f t="shared" si="61"/>
        <v>0.71834966295151326</v>
      </c>
      <c r="AQ52" s="465">
        <f t="shared" si="61"/>
        <v>0.73063140330102772</v>
      </c>
      <c r="AR52" s="465">
        <f t="shared" si="61"/>
        <v>0.7373892510866098</v>
      </c>
      <c r="AS52" s="465">
        <f t="shared" si="61"/>
        <v>0.74330156608345643</v>
      </c>
      <c r="AT52" s="465">
        <f t="shared" si="61"/>
        <v>0.73621388470511617</v>
      </c>
      <c r="AU52" s="466">
        <f t="shared" si="61"/>
        <v>0.74357177036962607</v>
      </c>
      <c r="AV52" s="466">
        <f t="shared" si="61"/>
        <v>0.75647047242524157</v>
      </c>
      <c r="AW52" s="466">
        <f t="shared" si="61"/>
        <v>0.75107249565830203</v>
      </c>
      <c r="AX52" s="466">
        <f t="shared" si="61"/>
        <v>0.7183093590959414</v>
      </c>
      <c r="AY52" s="466">
        <f t="shared" si="61"/>
        <v>0.7466427738155007</v>
      </c>
      <c r="AZ52" s="466">
        <f t="shared" si="61"/>
        <v>0.75410511550640491</v>
      </c>
      <c r="BA52" s="466">
        <f t="shared" si="61"/>
        <v>0.75409114404155964</v>
      </c>
      <c r="BB52" s="466">
        <f t="shared" si="61"/>
        <v>0.74836766970650148</v>
      </c>
      <c r="BC52" s="466">
        <f t="shared" si="61"/>
        <v>0.70275065461897535</v>
      </c>
      <c r="BD52" s="466">
        <f t="shared" si="61"/>
        <v>0.71770423901540303</v>
      </c>
      <c r="BE52" s="466">
        <f t="shared" si="61"/>
        <v>0.73259144746265081</v>
      </c>
      <c r="BF52" s="466">
        <f t="shared" si="61"/>
        <v>0.73393259575467928</v>
      </c>
      <c r="BG52" s="466">
        <f t="shared" si="61"/>
        <v>0.72276934554946981</v>
      </c>
      <c r="BH52" s="466">
        <f t="shared" si="61"/>
        <v>0.71849439247249225</v>
      </c>
      <c r="BI52" s="466">
        <f t="shared" si="61"/>
        <v>0.71685592924931374</v>
      </c>
      <c r="BJ52" s="466">
        <f t="shared" si="61"/>
        <v>0.71720417201941367</v>
      </c>
      <c r="BK52" s="466">
        <f t="shared" si="61"/>
        <v>0.73587943477611462</v>
      </c>
      <c r="BL52" s="466">
        <f t="shared" si="61"/>
        <v>0.73450215908570271</v>
      </c>
      <c r="BM52" s="466">
        <f t="shared" si="61"/>
        <v>0.74154988035929625</v>
      </c>
      <c r="BN52" s="466">
        <f t="shared" si="61"/>
        <v>0.73487344044082137</v>
      </c>
      <c r="BO52" s="466">
        <f t="shared" si="61"/>
        <v>0.72104492327233016</v>
      </c>
      <c r="BP52" s="466">
        <f t="shared" si="61"/>
        <v>0.72050332657337912</v>
      </c>
      <c r="BQ52" s="466">
        <f t="shared" si="61"/>
        <v>0.71585922588374651</v>
      </c>
      <c r="BR52" s="466">
        <f t="shared" si="61"/>
        <v>0.71612205311203392</v>
      </c>
      <c r="BS52" s="466">
        <f t="shared" si="61"/>
        <v>0.72671051545945398</v>
      </c>
      <c r="BT52" s="466">
        <f t="shared" ref="BT52:CL52" si="62">BT50/(BT2*BT12+BT13*BT3+BT4*BT14+BT15*BT5)</f>
        <v>0.75683565907658423</v>
      </c>
      <c r="BU52" s="466">
        <f t="shared" si="62"/>
        <v>0.70699241903837273</v>
      </c>
      <c r="BV52" s="466">
        <f t="shared" si="62"/>
        <v>0.7148693314396225</v>
      </c>
      <c r="BW52" s="466">
        <f t="shared" si="62"/>
        <v>0.70927243933729756</v>
      </c>
      <c r="BX52" s="466">
        <f t="shared" si="62"/>
        <v>0.73093930429935861</v>
      </c>
      <c r="BY52" s="466">
        <f t="shared" si="62"/>
        <v>0.73186871650603524</v>
      </c>
      <c r="BZ52" s="466">
        <f t="shared" si="62"/>
        <v>0.73816421428417434</v>
      </c>
      <c r="CA52" s="466">
        <f t="shared" si="62"/>
        <v>0.73782658839163073</v>
      </c>
      <c r="CB52" s="466">
        <f t="shared" si="62"/>
        <v>0.7196436618326898</v>
      </c>
      <c r="CC52" s="466">
        <f t="shared" si="62"/>
        <v>0.7148996692403462</v>
      </c>
      <c r="CD52" s="466">
        <f t="shared" si="62"/>
        <v>0.70057883635692197</v>
      </c>
      <c r="CE52" s="466">
        <f t="shared" si="62"/>
        <v>0.69530178691333377</v>
      </c>
      <c r="CF52" s="466">
        <f t="shared" si="62"/>
        <v>0.69144629236861976</v>
      </c>
      <c r="CG52" s="466">
        <f t="shared" si="62"/>
        <v>0.69386972980672901</v>
      </c>
      <c r="CH52" s="466">
        <f t="shared" si="62"/>
        <v>0.6930992381966038</v>
      </c>
      <c r="CI52" s="466">
        <f t="shared" si="62"/>
        <v>0.68682492158515951</v>
      </c>
      <c r="CJ52" s="466">
        <f t="shared" si="62"/>
        <v>0.68199392680337267</v>
      </c>
      <c r="CK52" s="466">
        <f t="shared" si="62"/>
        <v>0.68111740234584561</v>
      </c>
      <c r="CL52" s="467">
        <f t="shared" si="62"/>
        <v>0.679883343814493</v>
      </c>
      <c r="CM52" s="468">
        <f t="shared" si="27"/>
        <v>0.71983491389418308</v>
      </c>
      <c r="CN52" s="17"/>
      <c r="CO52" s="17"/>
      <c r="CP52" s="17"/>
      <c r="CQ52" s="17"/>
      <c r="CR52" s="17"/>
      <c r="CS52" s="17"/>
      <c r="CT52" s="17"/>
      <c r="CU52" s="17"/>
      <c r="CV52" s="17"/>
      <c r="CW52" s="17"/>
      <c r="CX52" s="17"/>
      <c r="CY52" s="17"/>
      <c r="CZ52" s="17"/>
      <c r="DA52" s="17"/>
      <c r="DB52" s="17"/>
      <c r="DC52" s="17"/>
      <c r="DD52" s="17"/>
      <c r="DE52" s="17"/>
      <c r="DF52" s="17"/>
      <c r="DG52" s="17"/>
      <c r="DH52" s="17"/>
      <c r="DI52" s="17"/>
      <c r="DJ52" s="17"/>
      <c r="DK52" s="17"/>
      <c r="DL52" s="17"/>
      <c r="DM52" s="17"/>
      <c r="DN52" s="17"/>
      <c r="DO52" s="17"/>
      <c r="DP52" s="17"/>
      <c r="DQ52" s="17"/>
      <c r="DR52" s="17"/>
      <c r="DS52" s="17"/>
      <c r="DT52" s="17"/>
      <c r="DU52" s="17"/>
      <c r="DV52" s="17"/>
      <c r="DW52" s="17"/>
      <c r="DX52" s="17"/>
      <c r="DY52" s="17"/>
      <c r="DZ52" s="17"/>
      <c r="EA52" s="17"/>
      <c r="EB52" s="17"/>
      <c r="EC52" s="17"/>
      <c r="ED52" s="17"/>
      <c r="EE52" s="17"/>
      <c r="EF52" s="17"/>
      <c r="EG52" s="17"/>
      <c r="EH52" s="17"/>
      <c r="EI52" s="17"/>
      <c r="EJ52" s="17"/>
      <c r="EK52" s="17"/>
      <c r="EL52" s="17"/>
      <c r="EM52" s="17"/>
      <c r="EN52" s="17"/>
      <c r="EO52" s="17"/>
      <c r="EP52" s="17"/>
      <c r="EQ52" s="17"/>
      <c r="ER52" s="17"/>
      <c r="ES52" s="17"/>
      <c r="ET52" s="17"/>
      <c r="EU52" s="17"/>
      <c r="EV52" s="17"/>
      <c r="EW52" s="17"/>
      <c r="EX52" s="17"/>
      <c r="EY52" s="17"/>
      <c r="EZ52" s="17"/>
      <c r="FA52" s="17"/>
      <c r="FB52" s="17"/>
      <c r="FC52" s="17"/>
      <c r="FD52" s="17"/>
      <c r="FE52" s="17"/>
      <c r="FF52" s="17"/>
      <c r="FG52" s="17"/>
      <c r="FH52" s="17"/>
      <c r="FI52" s="17"/>
      <c r="FJ52" s="17"/>
      <c r="FK52" s="17"/>
      <c r="FL52" s="17"/>
      <c r="FM52" s="17"/>
      <c r="FN52" s="17"/>
      <c r="FO52" s="17"/>
      <c r="FP52" s="17"/>
      <c r="FQ52" s="17"/>
      <c r="FR52" s="17"/>
      <c r="FS52" s="17"/>
      <c r="FT52" s="17"/>
      <c r="FU52" s="17"/>
      <c r="FV52" s="17"/>
    </row>
    <row r="53" spans="1:178">
      <c r="A53" s="463" t="s">
        <v>337</v>
      </c>
      <c r="B53" s="52" t="s">
        <v>312</v>
      </c>
      <c r="C53" s="362"/>
      <c r="D53" s="362"/>
      <c r="E53" s="58"/>
      <c r="F53" s="382" t="s">
        <v>339</v>
      </c>
      <c r="G53" s="465">
        <f t="shared" ref="G53:BR53" si="63">G51/(G2*G12+G13*G3+G4*G14+G15*G5)</f>
        <v>0.26705186822967492</v>
      </c>
      <c r="H53" s="465">
        <f t="shared" si="63"/>
        <v>0.26957314314253417</v>
      </c>
      <c r="I53" s="465">
        <f t="shared" si="63"/>
        <v>0.27851615579089056</v>
      </c>
      <c r="J53" s="465">
        <f t="shared" si="63"/>
        <v>0.28187998630094785</v>
      </c>
      <c r="K53" s="465">
        <f t="shared" si="63"/>
        <v>0.27981937009611013</v>
      </c>
      <c r="L53" s="465">
        <f t="shared" si="63"/>
        <v>0.27967718067680625</v>
      </c>
      <c r="M53" s="465">
        <f t="shared" si="63"/>
        <v>0.28038473499532557</v>
      </c>
      <c r="N53" s="465">
        <f t="shared" si="63"/>
        <v>0.28072666638641447</v>
      </c>
      <c r="O53" s="465">
        <f t="shared" si="63"/>
        <v>0.28072283206393983</v>
      </c>
      <c r="P53" s="465">
        <f t="shared" si="63"/>
        <v>0.28092528203839251</v>
      </c>
      <c r="Q53" s="465">
        <f t="shared" si="63"/>
        <v>0.28135136347207584</v>
      </c>
      <c r="R53" s="465">
        <f t="shared" si="63"/>
        <v>0.28093095270312296</v>
      </c>
      <c r="S53" s="465">
        <f t="shared" si="63"/>
        <v>0.27834764237517667</v>
      </c>
      <c r="T53" s="465">
        <f t="shared" si="63"/>
        <v>0.28221098045436022</v>
      </c>
      <c r="U53" s="465">
        <f t="shared" si="63"/>
        <v>0.27069879054959955</v>
      </c>
      <c r="V53" s="465">
        <f t="shared" si="63"/>
        <v>0.26496152552959651</v>
      </c>
      <c r="W53" s="465">
        <f t="shared" si="63"/>
        <v>0.24500054981588171</v>
      </c>
      <c r="X53" s="465">
        <f t="shared" si="63"/>
        <v>0.26850771726758388</v>
      </c>
      <c r="Y53" s="465">
        <f t="shared" si="63"/>
        <v>0.31018517505272208</v>
      </c>
      <c r="Z53" s="465">
        <f t="shared" si="63"/>
        <v>0.3045083589192531</v>
      </c>
      <c r="AA53" s="465">
        <f t="shared" si="63"/>
        <v>0.30560167703915742</v>
      </c>
      <c r="AB53" s="465">
        <f t="shared" si="63"/>
        <v>0.3120181091322185</v>
      </c>
      <c r="AC53" s="465">
        <f t="shared" si="63"/>
        <v>0.28881501091266637</v>
      </c>
      <c r="AD53" s="465">
        <f t="shared" si="63"/>
        <v>0.29590495982083409</v>
      </c>
      <c r="AE53" s="465">
        <f t="shared" si="63"/>
        <v>0.30425063014807591</v>
      </c>
      <c r="AF53" s="465">
        <f t="shared" si="63"/>
        <v>0.2933696287559216</v>
      </c>
      <c r="AG53" s="465">
        <f t="shared" si="63"/>
        <v>0.29625186295415723</v>
      </c>
      <c r="AH53" s="465">
        <f t="shared" si="63"/>
        <v>0.30146086985278703</v>
      </c>
      <c r="AI53" s="465">
        <f t="shared" si="63"/>
        <v>0.29555268545244884</v>
      </c>
      <c r="AJ53" s="465">
        <f t="shared" si="63"/>
        <v>0.27551795332137924</v>
      </c>
      <c r="AK53" s="465">
        <f t="shared" si="63"/>
        <v>0.27620407677855707</v>
      </c>
      <c r="AL53" s="465">
        <f t="shared" si="63"/>
        <v>0.28014511315678059</v>
      </c>
      <c r="AM53" s="465">
        <f t="shared" si="63"/>
        <v>0.27892875489234936</v>
      </c>
      <c r="AN53" s="465">
        <f t="shared" si="63"/>
        <v>0.27532336603504182</v>
      </c>
      <c r="AO53" s="465">
        <f t="shared" si="63"/>
        <v>0.30183404426511939</v>
      </c>
      <c r="AP53" s="465">
        <f t="shared" si="63"/>
        <v>0.2816503370484868</v>
      </c>
      <c r="AQ53" s="465">
        <f t="shared" si="63"/>
        <v>0.26936859669897234</v>
      </c>
      <c r="AR53" s="465">
        <f t="shared" si="63"/>
        <v>0.26261074891339009</v>
      </c>
      <c r="AS53" s="465">
        <f t="shared" si="63"/>
        <v>0.25669843391654362</v>
      </c>
      <c r="AT53" s="465">
        <f t="shared" si="63"/>
        <v>0.26378611529488388</v>
      </c>
      <c r="AU53" s="466">
        <f t="shared" si="63"/>
        <v>0.25642822963037382</v>
      </c>
      <c r="AV53" s="466">
        <f t="shared" si="63"/>
        <v>0.24352952757475838</v>
      </c>
      <c r="AW53" s="466">
        <f t="shared" si="63"/>
        <v>0.24892750434169789</v>
      </c>
      <c r="AX53" s="466">
        <f t="shared" si="63"/>
        <v>0.28169064090405843</v>
      </c>
      <c r="AY53" s="466">
        <f t="shared" si="63"/>
        <v>0.25335722618449935</v>
      </c>
      <c r="AZ53" s="466">
        <f t="shared" si="63"/>
        <v>0.24589488449359534</v>
      </c>
      <c r="BA53" s="466">
        <f t="shared" si="63"/>
        <v>0.24590885595844042</v>
      </c>
      <c r="BB53" s="466">
        <f t="shared" si="63"/>
        <v>0.25163233029349874</v>
      </c>
      <c r="BC53" s="466">
        <f t="shared" si="63"/>
        <v>0.2972493453810246</v>
      </c>
      <c r="BD53" s="466">
        <f t="shared" si="63"/>
        <v>0.28229576098459702</v>
      </c>
      <c r="BE53" s="466">
        <f t="shared" si="63"/>
        <v>0.26740855253734913</v>
      </c>
      <c r="BF53" s="466">
        <f t="shared" si="63"/>
        <v>0.2660674042453206</v>
      </c>
      <c r="BG53" s="466">
        <f t="shared" si="63"/>
        <v>0.27723065445053013</v>
      </c>
      <c r="BH53" s="466">
        <f t="shared" si="63"/>
        <v>0.28150560752750781</v>
      </c>
      <c r="BI53" s="466">
        <f t="shared" si="63"/>
        <v>0.28314407075068632</v>
      </c>
      <c r="BJ53" s="466">
        <f t="shared" si="63"/>
        <v>0.28279582798058628</v>
      </c>
      <c r="BK53" s="466">
        <f t="shared" si="63"/>
        <v>0.26412056522388538</v>
      </c>
      <c r="BL53" s="466">
        <f t="shared" si="63"/>
        <v>0.26549784091429723</v>
      </c>
      <c r="BM53" s="466">
        <f t="shared" si="63"/>
        <v>0.25845011964070375</v>
      </c>
      <c r="BN53" s="466">
        <f t="shared" si="63"/>
        <v>0.26512655955917874</v>
      </c>
      <c r="BO53" s="466">
        <f t="shared" si="63"/>
        <v>0.27895507672766973</v>
      </c>
      <c r="BP53" s="466">
        <f t="shared" si="63"/>
        <v>0.27949667342662093</v>
      </c>
      <c r="BQ53" s="466">
        <f t="shared" si="63"/>
        <v>0.28414077411625366</v>
      </c>
      <c r="BR53" s="466">
        <f t="shared" si="63"/>
        <v>0.28387794688796619</v>
      </c>
      <c r="BS53" s="466">
        <f t="shared" ref="BS53:CL53" si="64">BS51/(BS2*BS12+BS13*BS3+BS4*BS14+BS15*BS5)</f>
        <v>0.27328948454054608</v>
      </c>
      <c r="BT53" s="466">
        <f t="shared" si="64"/>
        <v>0.24316434092341568</v>
      </c>
      <c r="BU53" s="466">
        <f t="shared" si="64"/>
        <v>0.29300758096162738</v>
      </c>
      <c r="BV53" s="466">
        <f t="shared" si="64"/>
        <v>0.28513066856037744</v>
      </c>
      <c r="BW53" s="466">
        <f t="shared" si="64"/>
        <v>0.29072756066270244</v>
      </c>
      <c r="BX53" s="466">
        <f t="shared" si="64"/>
        <v>0.26906069570064151</v>
      </c>
      <c r="BY53" s="466">
        <f t="shared" si="64"/>
        <v>0.26813128349396487</v>
      </c>
      <c r="BZ53" s="466">
        <f t="shared" si="64"/>
        <v>0.26183578571582572</v>
      </c>
      <c r="CA53" s="466">
        <f t="shared" si="64"/>
        <v>0.26217341160836932</v>
      </c>
      <c r="CB53" s="466">
        <f t="shared" si="64"/>
        <v>0.28035633816731031</v>
      </c>
      <c r="CC53" s="466">
        <f t="shared" si="64"/>
        <v>0.28510033075965385</v>
      </c>
      <c r="CD53" s="466">
        <f t="shared" si="64"/>
        <v>0.29942116364307797</v>
      </c>
      <c r="CE53" s="466">
        <f t="shared" si="64"/>
        <v>0.30469821308666611</v>
      </c>
      <c r="CF53" s="466">
        <f t="shared" si="64"/>
        <v>0.30855370763138035</v>
      </c>
      <c r="CG53" s="466">
        <f t="shared" si="64"/>
        <v>0.30613027019327099</v>
      </c>
      <c r="CH53" s="466">
        <f t="shared" si="64"/>
        <v>0.30690076180339615</v>
      </c>
      <c r="CI53" s="466">
        <f t="shared" si="64"/>
        <v>0.31317507841484055</v>
      </c>
      <c r="CJ53" s="466">
        <f t="shared" si="64"/>
        <v>0.31800607319662721</v>
      </c>
      <c r="CK53" s="466">
        <f t="shared" si="64"/>
        <v>0.31888259765415444</v>
      </c>
      <c r="CL53" s="467">
        <f t="shared" si="64"/>
        <v>0.320116656185507</v>
      </c>
      <c r="CM53" s="469">
        <f t="shared" si="27"/>
        <v>0.28016508610581703</v>
      </c>
      <c r="CN53" s="58"/>
      <c r="CO53" s="58"/>
      <c r="CP53" s="58"/>
      <c r="CQ53" s="58"/>
      <c r="CR53" s="58"/>
      <c r="CS53" s="58"/>
      <c r="CT53" s="58"/>
      <c r="CU53" s="58"/>
      <c r="CV53" s="58"/>
      <c r="CW53" s="58"/>
      <c r="CX53" s="58"/>
      <c r="CY53" s="58"/>
      <c r="CZ53" s="58"/>
      <c r="DA53" s="58"/>
      <c r="DB53" s="58"/>
      <c r="DC53" s="58"/>
      <c r="DD53" s="58"/>
      <c r="DE53" s="58"/>
      <c r="DF53" s="58"/>
      <c r="DG53" s="58"/>
      <c r="DH53" s="58"/>
      <c r="DI53" s="58"/>
      <c r="DJ53" s="58"/>
      <c r="DK53" s="58"/>
      <c r="DL53" s="58"/>
      <c r="DM53" s="58"/>
      <c r="DN53" s="58"/>
      <c r="DO53" s="58"/>
      <c r="DP53" s="58"/>
      <c r="DQ53" s="58"/>
      <c r="DR53" s="58"/>
      <c r="DS53" s="58"/>
      <c r="DT53" s="58"/>
      <c r="DU53" s="58"/>
      <c r="DV53" s="58"/>
      <c r="DW53" s="58"/>
      <c r="DX53" s="58"/>
      <c r="DY53" s="58"/>
      <c r="DZ53" s="58"/>
      <c r="EA53" s="58"/>
      <c r="EB53" s="58"/>
      <c r="EC53" s="58"/>
      <c r="ED53" s="58"/>
      <c r="EE53" s="58"/>
      <c r="EF53" s="58"/>
      <c r="EG53" s="58"/>
      <c r="EH53" s="58"/>
      <c r="EI53" s="58"/>
      <c r="EJ53" s="58"/>
      <c r="EK53" s="58"/>
      <c r="EL53" s="58"/>
      <c r="EM53" s="58"/>
      <c r="EN53" s="58"/>
      <c r="EO53" s="58"/>
      <c r="EP53" s="58"/>
      <c r="EQ53" s="58"/>
      <c r="ER53" s="58"/>
      <c r="ES53" s="58"/>
      <c r="ET53" s="58"/>
      <c r="EU53" s="58"/>
      <c r="EV53" s="58"/>
      <c r="EW53" s="58"/>
      <c r="EX53" s="58"/>
      <c r="EY53" s="58"/>
      <c r="EZ53" s="58"/>
      <c r="FA53" s="58"/>
      <c r="FB53" s="58"/>
      <c r="FC53" s="58"/>
      <c r="FD53" s="58"/>
      <c r="FE53" s="58"/>
      <c r="FF53" s="58"/>
      <c r="FG53" s="58"/>
      <c r="FH53" s="58"/>
      <c r="FI53" s="58"/>
      <c r="FJ53" s="58"/>
      <c r="FK53" s="58"/>
      <c r="FL53" s="58"/>
      <c r="FM53" s="58"/>
      <c r="FN53" s="58"/>
      <c r="FO53" s="58"/>
      <c r="FP53" s="58"/>
      <c r="FQ53" s="58"/>
      <c r="FR53" s="58"/>
      <c r="FS53" s="58"/>
      <c r="FT53" s="58"/>
      <c r="FU53" s="58"/>
      <c r="FV53" s="58"/>
    </row>
    <row r="54" spans="1:178">
      <c r="A54" s="463" t="s">
        <v>340</v>
      </c>
      <c r="B54" s="52" t="s">
        <v>312</v>
      </c>
      <c r="C54" s="362" t="s">
        <v>326</v>
      </c>
      <c r="D54" s="362"/>
      <c r="E54" s="58"/>
      <c r="F54" s="382" t="s">
        <v>341</v>
      </c>
      <c r="G54" s="464">
        <f t="shared" ref="G54:BR54" si="65">G7*G18+G8*G19+G9*G20+G10*G21+G11*G22</f>
        <v>1591303203.7970729</v>
      </c>
      <c r="H54" s="464">
        <f t="shared" si="65"/>
        <v>1563335876.0920532</v>
      </c>
      <c r="I54" s="464">
        <f t="shared" si="65"/>
        <v>1571975608.3870342</v>
      </c>
      <c r="J54" s="464">
        <f t="shared" si="65"/>
        <v>1582358534.0153477</v>
      </c>
      <c r="K54" s="464">
        <f t="shared" si="65"/>
        <v>1560441265.3103287</v>
      </c>
      <c r="L54" s="464">
        <f t="shared" si="65"/>
        <v>1599586880.9386425</v>
      </c>
      <c r="M54" s="464">
        <f t="shared" si="65"/>
        <v>1570850191.9002905</v>
      </c>
      <c r="N54" s="464">
        <f t="shared" si="65"/>
        <v>1606205311.195271</v>
      </c>
      <c r="O54" s="464">
        <f t="shared" si="65"/>
        <v>1537063276.8235843</v>
      </c>
      <c r="P54" s="464">
        <f t="shared" si="65"/>
        <v>1572929572.7852321</v>
      </c>
      <c r="Q54" s="464">
        <f t="shared" si="65"/>
        <v>1534140068.7468791</v>
      </c>
      <c r="R54" s="464">
        <f t="shared" si="65"/>
        <v>1463300766.0418601</v>
      </c>
      <c r="S54" s="464">
        <f t="shared" si="65"/>
        <v>1478656341.4674935</v>
      </c>
      <c r="T54" s="464">
        <f t="shared" si="65"/>
        <v>1472798694.3204136</v>
      </c>
      <c r="U54" s="464">
        <f t="shared" si="65"/>
        <v>1391874164.9848003</v>
      </c>
      <c r="V54" s="464">
        <f t="shared" si="65"/>
        <v>1451389308.9982936</v>
      </c>
      <c r="W54" s="464">
        <f t="shared" si="65"/>
        <v>1339042376.6762538</v>
      </c>
      <c r="X54" s="464">
        <f t="shared" si="65"/>
        <v>1347433746.8625069</v>
      </c>
      <c r="Y54" s="464">
        <f t="shared" si="65"/>
        <v>1406723476.0487604</v>
      </c>
      <c r="Z54" s="464">
        <f t="shared" si="65"/>
        <v>1393783580.6944001</v>
      </c>
      <c r="AA54" s="464">
        <f t="shared" si="65"/>
        <v>1412617123.1350136</v>
      </c>
      <c r="AB54" s="464">
        <f t="shared" si="65"/>
        <v>1442969729.3212669</v>
      </c>
      <c r="AC54" s="464">
        <f t="shared" si="65"/>
        <v>1453305342.6575203</v>
      </c>
      <c r="AD54" s="464">
        <f t="shared" si="65"/>
        <v>1414608851.277307</v>
      </c>
      <c r="AE54" s="464">
        <f t="shared" si="65"/>
        <v>1420240466.4621737</v>
      </c>
      <c r="AF54" s="464">
        <f t="shared" si="65"/>
        <v>1414231756.9466934</v>
      </c>
      <c r="AG54" s="464">
        <f t="shared" si="65"/>
        <v>1457726068.832947</v>
      </c>
      <c r="AH54" s="464">
        <f t="shared" si="65"/>
        <v>1505582603.0708802</v>
      </c>
      <c r="AI54" s="464">
        <f t="shared" si="65"/>
        <v>1588354965.9610672</v>
      </c>
      <c r="AJ54" s="464">
        <f t="shared" si="65"/>
        <v>1554604670.6043873</v>
      </c>
      <c r="AK54" s="464">
        <f t="shared" si="65"/>
        <v>1638074756.8083737</v>
      </c>
      <c r="AL54" s="464">
        <f t="shared" si="65"/>
        <v>1602403163.0977871</v>
      </c>
      <c r="AM54" s="464">
        <f t="shared" si="65"/>
        <v>1572979489.8531604</v>
      </c>
      <c r="AN54" s="464">
        <f t="shared" si="65"/>
        <v>1597261954.2060804</v>
      </c>
      <c r="AO54" s="464">
        <f t="shared" si="65"/>
        <v>1543623855.3672669</v>
      </c>
      <c r="AP54" s="464">
        <f t="shared" si="65"/>
        <v>1542240732.5246935</v>
      </c>
      <c r="AQ54" s="464">
        <f t="shared" si="65"/>
        <v>1570808518.678587</v>
      </c>
      <c r="AR54" s="464">
        <f t="shared" si="65"/>
        <v>1503474752.1315072</v>
      </c>
      <c r="AS54" s="464">
        <f t="shared" si="65"/>
        <v>1581611678.0510938</v>
      </c>
      <c r="AT54" s="464">
        <f t="shared" si="65"/>
        <v>1613854652.6082671</v>
      </c>
      <c r="AU54" s="376">
        <f t="shared" si="65"/>
        <v>1724775354.4700537</v>
      </c>
      <c r="AV54" s="376">
        <f t="shared" si="65"/>
        <v>1776496912.3467202</v>
      </c>
      <c r="AW54" s="376">
        <f t="shared" si="65"/>
        <v>1806778454.488827</v>
      </c>
      <c r="AX54" s="376">
        <f t="shared" si="65"/>
        <v>1826215141.1960003</v>
      </c>
      <c r="AY54" s="376">
        <f t="shared" si="65"/>
        <v>2118804815.022347</v>
      </c>
      <c r="AZ54" s="376">
        <f t="shared" si="65"/>
        <v>2104227006.2637603</v>
      </c>
      <c r="BA54" s="376">
        <f t="shared" si="65"/>
        <v>2102909711.6944804</v>
      </c>
      <c r="BB54" s="376">
        <f t="shared" si="65"/>
        <v>2212493014.0045338</v>
      </c>
      <c r="BC54" s="376">
        <f t="shared" si="65"/>
        <v>2162913841.3210139</v>
      </c>
      <c r="BD54" s="376">
        <f t="shared" si="65"/>
        <v>1954022767.3853073</v>
      </c>
      <c r="BE54" s="376">
        <f t="shared" si="65"/>
        <v>1659030606.5900002</v>
      </c>
      <c r="BF54" s="376">
        <f t="shared" si="65"/>
        <v>1551186994.505307</v>
      </c>
      <c r="BG54" s="376">
        <f t="shared" si="65"/>
        <v>1548024935.1820803</v>
      </c>
      <c r="BH54" s="376">
        <f t="shared" si="65"/>
        <v>1585893053.2450137</v>
      </c>
      <c r="BI54" s="376">
        <f t="shared" si="65"/>
        <v>1569138922.3768003</v>
      </c>
      <c r="BJ54" s="376">
        <f t="shared" si="65"/>
        <v>1540707788.6528802</v>
      </c>
      <c r="BK54" s="376">
        <f t="shared" si="65"/>
        <v>1584815416.1680002</v>
      </c>
      <c r="BL54" s="376">
        <f t="shared" si="65"/>
        <v>1569382838.9333336</v>
      </c>
      <c r="BM54" s="376">
        <f t="shared" si="65"/>
        <v>1645974153.8000002</v>
      </c>
      <c r="BN54" s="376">
        <f t="shared" si="65"/>
        <v>1688069019.130667</v>
      </c>
      <c r="BO54" s="376">
        <f t="shared" si="65"/>
        <v>1775081779.6720004</v>
      </c>
      <c r="BP54" s="376">
        <f t="shared" si="65"/>
        <v>1682461036.3386669</v>
      </c>
      <c r="BQ54" s="376">
        <f t="shared" si="65"/>
        <v>1515453481.074667</v>
      </c>
      <c r="BR54" s="376">
        <f t="shared" si="65"/>
        <v>1612904545.554667</v>
      </c>
      <c r="BS54" s="376">
        <f t="shared" ref="BS54:CL54" si="66">BS7*BS18+BS8*BS19+BS9*BS20+BS10*BS21+BS11*BS22</f>
        <v>1626311447.7760003</v>
      </c>
      <c r="BT54" s="376">
        <f t="shared" si="66"/>
        <v>1465245624.2533333</v>
      </c>
      <c r="BU54" s="376">
        <f t="shared" si="66"/>
        <v>1140618306.4000001</v>
      </c>
      <c r="BV54" s="376">
        <f t="shared" si="66"/>
        <v>723440265.95733345</v>
      </c>
      <c r="BW54" s="376">
        <f t="shared" si="66"/>
        <v>786549706.80000007</v>
      </c>
      <c r="BX54" s="376">
        <f t="shared" si="66"/>
        <v>963881437.28533351</v>
      </c>
      <c r="BY54" s="376">
        <f t="shared" si="66"/>
        <v>1044692372.6986668</v>
      </c>
      <c r="BZ54" s="376">
        <f t="shared" si="66"/>
        <v>1162321243.2640002</v>
      </c>
      <c r="CA54" s="376">
        <f t="shared" si="66"/>
        <v>1230826133.4400001</v>
      </c>
      <c r="CB54" s="376">
        <f t="shared" si="66"/>
        <v>1369987969.6480002</v>
      </c>
      <c r="CC54" s="376">
        <f t="shared" si="66"/>
        <v>1643314630.0480006</v>
      </c>
      <c r="CD54" s="376">
        <f t="shared" si="66"/>
        <v>1667857767.9520004</v>
      </c>
      <c r="CE54" s="376">
        <f t="shared" si="66"/>
        <v>1502742729.666667</v>
      </c>
      <c r="CF54" s="376">
        <f t="shared" si="66"/>
        <v>1611902916.090667</v>
      </c>
      <c r="CG54" s="376">
        <f t="shared" si="66"/>
        <v>1878708853.8453336</v>
      </c>
      <c r="CH54" s="376">
        <f t="shared" si="66"/>
        <v>1855216770.074667</v>
      </c>
      <c r="CI54" s="376">
        <f t="shared" si="66"/>
        <v>1936891329.0106668</v>
      </c>
      <c r="CJ54" s="376">
        <f t="shared" si="66"/>
        <v>2075719015.7437336</v>
      </c>
      <c r="CK54" s="376">
        <f t="shared" si="66"/>
        <v>2340927679.1168003</v>
      </c>
      <c r="CL54" s="382">
        <f t="shared" si="66"/>
        <v>2334174884.810667</v>
      </c>
      <c r="CM54" s="75">
        <f t="shared" si="27"/>
        <v>1585057857.7497809</v>
      </c>
      <c r="CN54" s="58"/>
      <c r="CO54" s="58"/>
      <c r="CP54" s="58"/>
      <c r="CQ54" s="58"/>
      <c r="CR54" s="58"/>
      <c r="CS54" s="58"/>
      <c r="CT54" s="58"/>
      <c r="CU54" s="58"/>
      <c r="CV54" s="58"/>
      <c r="CW54" s="58"/>
      <c r="CX54" s="58"/>
      <c r="CY54" s="58"/>
      <c r="CZ54" s="58"/>
      <c r="DA54" s="58"/>
      <c r="DB54" s="58"/>
      <c r="DC54" s="58"/>
      <c r="DD54" s="58"/>
      <c r="DE54" s="58"/>
      <c r="DF54" s="58"/>
      <c r="DG54" s="58"/>
      <c r="DH54" s="58"/>
      <c r="DI54" s="58"/>
      <c r="DJ54" s="58"/>
      <c r="DK54" s="58"/>
      <c r="DL54" s="58"/>
      <c r="DM54" s="58"/>
      <c r="DN54" s="58"/>
      <c r="DO54" s="58"/>
      <c r="DP54" s="58"/>
      <c r="DQ54" s="58"/>
      <c r="DR54" s="58"/>
      <c r="DS54" s="58"/>
      <c r="DT54" s="58"/>
      <c r="DU54" s="58"/>
      <c r="DV54" s="58"/>
      <c r="DW54" s="58"/>
      <c r="DX54" s="58"/>
      <c r="DY54" s="58"/>
      <c r="DZ54" s="58"/>
      <c r="EA54" s="58"/>
      <c r="EB54" s="58"/>
      <c r="EC54" s="58"/>
      <c r="ED54" s="58"/>
      <c r="EE54" s="58"/>
      <c r="EF54" s="58"/>
      <c r="EG54" s="58"/>
      <c r="EH54" s="58"/>
      <c r="EI54" s="58"/>
      <c r="EJ54" s="58"/>
      <c r="EK54" s="58"/>
      <c r="EL54" s="58"/>
      <c r="EM54" s="58"/>
      <c r="EN54" s="58"/>
      <c r="EO54" s="58"/>
      <c r="EP54" s="58"/>
      <c r="EQ54" s="58"/>
      <c r="ER54" s="58"/>
      <c r="ES54" s="58"/>
      <c r="ET54" s="58"/>
      <c r="EU54" s="58"/>
      <c r="EV54" s="58"/>
      <c r="EW54" s="58"/>
      <c r="EX54" s="58"/>
      <c r="EY54" s="58"/>
      <c r="EZ54" s="58"/>
      <c r="FA54" s="58"/>
      <c r="FB54" s="58"/>
      <c r="FC54" s="58"/>
      <c r="FD54" s="58"/>
      <c r="FE54" s="58"/>
      <c r="FF54" s="58"/>
      <c r="FG54" s="58"/>
      <c r="FH54" s="58"/>
      <c r="FI54" s="58"/>
      <c r="FJ54" s="58"/>
      <c r="FK54" s="58"/>
      <c r="FL54" s="58"/>
      <c r="FM54" s="58"/>
      <c r="FN54" s="58"/>
      <c r="FO54" s="58"/>
      <c r="FP54" s="58"/>
      <c r="FQ54" s="58"/>
      <c r="FR54" s="58"/>
      <c r="FS54" s="58"/>
      <c r="FT54" s="58"/>
      <c r="FU54" s="58"/>
      <c r="FV54" s="58"/>
    </row>
    <row r="55" spans="1:178">
      <c r="A55" s="457" t="s">
        <v>342</v>
      </c>
      <c r="B55" s="53" t="s">
        <v>312</v>
      </c>
      <c r="C55" s="367" t="s">
        <v>326</v>
      </c>
      <c r="D55" s="367"/>
      <c r="E55" s="236"/>
      <c r="F55" s="389" t="s">
        <v>182</v>
      </c>
      <c r="G55" s="470">
        <f t="shared" ref="G55:BR55" si="67">G23*G2+G3*G24+G25*G4+G5*G26+G27*CP41</f>
        <v>974490024.9560864</v>
      </c>
      <c r="H55" s="470">
        <f t="shared" si="67"/>
        <v>969605318.11475301</v>
      </c>
      <c r="I55" s="470">
        <f t="shared" si="67"/>
        <v>882144150.1120863</v>
      </c>
      <c r="J55" s="470">
        <f t="shared" si="67"/>
        <v>858513204.07341969</v>
      </c>
      <c r="K55" s="470">
        <f t="shared" si="67"/>
        <v>851434686.17208636</v>
      </c>
      <c r="L55" s="470">
        <f t="shared" si="67"/>
        <v>874167711.27475297</v>
      </c>
      <c r="M55" s="470">
        <f t="shared" si="67"/>
        <v>861839155.21008635</v>
      </c>
      <c r="N55" s="470">
        <f t="shared" si="67"/>
        <v>852488341.00898182</v>
      </c>
      <c r="O55" s="470">
        <f t="shared" si="67"/>
        <v>833747421.35741973</v>
      </c>
      <c r="P55" s="470">
        <f t="shared" si="67"/>
        <v>822650058.72524846</v>
      </c>
      <c r="Q55" s="470">
        <f t="shared" si="67"/>
        <v>816866234.05601048</v>
      </c>
      <c r="R55" s="470">
        <f t="shared" si="67"/>
        <v>787204291.94863927</v>
      </c>
      <c r="S55" s="470">
        <f t="shared" si="67"/>
        <v>804126605.50433469</v>
      </c>
      <c r="T55" s="470">
        <f t="shared" si="67"/>
        <v>808577833.56924331</v>
      </c>
      <c r="U55" s="470">
        <f t="shared" si="67"/>
        <v>710178505.92693877</v>
      </c>
      <c r="V55" s="470">
        <f t="shared" si="67"/>
        <v>778526423.81064761</v>
      </c>
      <c r="W55" s="470">
        <f t="shared" si="67"/>
        <v>645247518.95644951</v>
      </c>
      <c r="X55" s="470">
        <f t="shared" si="67"/>
        <v>684913021.77246499</v>
      </c>
      <c r="Y55" s="470">
        <f t="shared" si="67"/>
        <v>679104890.52358711</v>
      </c>
      <c r="Z55" s="470">
        <f t="shared" si="67"/>
        <v>725629045.62476242</v>
      </c>
      <c r="AA55" s="470">
        <f t="shared" si="67"/>
        <v>702442082.49373794</v>
      </c>
      <c r="AB55" s="470">
        <f t="shared" si="67"/>
        <v>755432867.20456672</v>
      </c>
      <c r="AC55" s="470">
        <f t="shared" si="67"/>
        <v>657302846.55990195</v>
      </c>
      <c r="AD55" s="470">
        <f t="shared" si="67"/>
        <v>667914121.01637077</v>
      </c>
      <c r="AE55" s="470">
        <f t="shared" si="67"/>
        <v>585767307.64950621</v>
      </c>
      <c r="AF55" s="470">
        <f t="shared" si="67"/>
        <v>702959462.45668149</v>
      </c>
      <c r="AG55" s="470">
        <f t="shared" si="67"/>
        <v>734007959.44891024</v>
      </c>
      <c r="AH55" s="470">
        <f t="shared" si="67"/>
        <v>897306586.22672582</v>
      </c>
      <c r="AI55" s="470">
        <f t="shared" si="67"/>
        <v>909969998.34708774</v>
      </c>
      <c r="AJ55" s="470">
        <f t="shared" si="67"/>
        <v>906075766.16096985</v>
      </c>
      <c r="AK55" s="470">
        <f t="shared" si="67"/>
        <v>934313819.1843853</v>
      </c>
      <c r="AL55" s="470">
        <f t="shared" si="67"/>
        <v>831272773.76782727</v>
      </c>
      <c r="AM55" s="470">
        <f t="shared" si="67"/>
        <v>781772257.60446942</v>
      </c>
      <c r="AN55" s="470">
        <f t="shared" si="67"/>
        <v>784520858.00685823</v>
      </c>
      <c r="AO55" s="470">
        <f t="shared" si="67"/>
        <v>771612031.05787361</v>
      </c>
      <c r="AP55" s="470">
        <f t="shared" si="67"/>
        <v>708739899.18894231</v>
      </c>
      <c r="AQ55" s="470">
        <f t="shared" si="67"/>
        <v>1040738784.5439844</v>
      </c>
      <c r="AR55" s="470">
        <f t="shared" si="67"/>
        <v>994429820.40442657</v>
      </c>
      <c r="AS55" s="470">
        <f t="shared" si="67"/>
        <v>974446556.6478951</v>
      </c>
      <c r="AT55" s="470">
        <f t="shared" si="67"/>
        <v>1003080596.2250621</v>
      </c>
      <c r="AU55" s="387">
        <f t="shared" si="67"/>
        <v>933079150.31931257</v>
      </c>
      <c r="AV55" s="387">
        <f t="shared" si="67"/>
        <v>962440583.90142918</v>
      </c>
      <c r="AW55" s="387">
        <f t="shared" si="67"/>
        <v>984981160.67405784</v>
      </c>
      <c r="AX55" s="387">
        <f t="shared" si="67"/>
        <v>1061238614.1759125</v>
      </c>
      <c r="AY55" s="387">
        <f t="shared" si="67"/>
        <v>1114959275.7957141</v>
      </c>
      <c r="AZ55" s="387">
        <f t="shared" si="67"/>
        <v>1163982253.855454</v>
      </c>
      <c r="BA55" s="387">
        <f t="shared" si="67"/>
        <v>1204884809.1219661</v>
      </c>
      <c r="BB55" s="387">
        <f t="shared" si="67"/>
        <v>1281249755.5713792</v>
      </c>
      <c r="BC55" s="387">
        <f t="shared" si="67"/>
        <v>1280617767.4987285</v>
      </c>
      <c r="BD55" s="387">
        <f t="shared" si="67"/>
        <v>982464014.09369671</v>
      </c>
      <c r="BE55" s="387">
        <f t="shared" si="67"/>
        <v>836204676.50828469</v>
      </c>
      <c r="BF55" s="387">
        <f t="shared" si="67"/>
        <v>843192776.77242649</v>
      </c>
      <c r="BG55" s="387">
        <f t="shared" si="67"/>
        <v>914252360.60378718</v>
      </c>
      <c r="BH55" s="387">
        <f t="shared" si="67"/>
        <v>962719125.42876935</v>
      </c>
      <c r="BI55" s="387">
        <f t="shared" si="67"/>
        <v>1031193915.5592388</v>
      </c>
      <c r="BJ55" s="387">
        <f t="shared" si="67"/>
        <v>1027970228.7364782</v>
      </c>
      <c r="BK55" s="387">
        <f t="shared" si="67"/>
        <v>857796956.56446826</v>
      </c>
      <c r="BL55" s="387">
        <f t="shared" si="67"/>
        <v>860655131.90519857</v>
      </c>
      <c r="BM55" s="387">
        <f t="shared" si="67"/>
        <v>830799831.32572687</v>
      </c>
      <c r="BN55" s="387">
        <f t="shared" si="67"/>
        <v>840938544.11109412</v>
      </c>
      <c r="BO55" s="387">
        <f t="shared" si="67"/>
        <v>911244732.62897813</v>
      </c>
      <c r="BP55" s="387">
        <f t="shared" si="67"/>
        <v>920006377.25752306</v>
      </c>
      <c r="BQ55" s="387">
        <f t="shared" si="67"/>
        <v>973735897.21308959</v>
      </c>
      <c r="BR55" s="387">
        <f t="shared" si="67"/>
        <v>1030231947.0232844</v>
      </c>
      <c r="BS55" s="387">
        <f t="shared" ref="BS55:CL55" si="68">BS23*BS2+BS3*BS24+BS25*BS4+BS5*BS26+BS27*FB41</f>
        <v>934384714.376158</v>
      </c>
      <c r="BT55" s="387">
        <f t="shared" si="68"/>
        <v>705480203.35336876</v>
      </c>
      <c r="BU55" s="387">
        <f t="shared" si="68"/>
        <v>892991924.74178743</v>
      </c>
      <c r="BV55" s="387">
        <f t="shared" si="68"/>
        <v>870545288.71418452</v>
      </c>
      <c r="BW55" s="387">
        <f t="shared" si="68"/>
        <v>936091577.08519292</v>
      </c>
      <c r="BX55" s="387">
        <f t="shared" si="68"/>
        <v>756626802.38026369</v>
      </c>
      <c r="BY55" s="387">
        <f t="shared" si="68"/>
        <v>765305045.61655903</v>
      </c>
      <c r="BZ55" s="387">
        <f t="shared" si="68"/>
        <v>747136784.69693351</v>
      </c>
      <c r="CA55" s="387">
        <f t="shared" si="68"/>
        <v>670783566.0289011</v>
      </c>
      <c r="CB55" s="387">
        <f t="shared" si="68"/>
        <v>777963321.71366882</v>
      </c>
      <c r="CC55" s="387">
        <f t="shared" si="68"/>
        <v>857901303.75162578</v>
      </c>
      <c r="CD55" s="387">
        <f t="shared" si="68"/>
        <v>979025148.3243798</v>
      </c>
      <c r="CE55" s="387">
        <f t="shared" si="68"/>
        <v>1074579217.516176</v>
      </c>
      <c r="CF55" s="387">
        <f t="shared" si="68"/>
        <v>1129846437.0592544</v>
      </c>
      <c r="CG55" s="387">
        <f t="shared" si="68"/>
        <v>1067195462.711694</v>
      </c>
      <c r="CH55" s="387">
        <f t="shared" si="68"/>
        <v>1059447097.6273067</v>
      </c>
      <c r="CI55" s="387">
        <f t="shared" si="68"/>
        <v>1142168162.764348</v>
      </c>
      <c r="CJ55" s="387">
        <f t="shared" si="68"/>
        <v>1251437112.5409484</v>
      </c>
      <c r="CK55" s="387">
        <f t="shared" si="68"/>
        <v>1240406412.230716</v>
      </c>
      <c r="CL55" s="389">
        <f t="shared" si="68"/>
        <v>1261218347.1053591</v>
      </c>
      <c r="CM55" s="75">
        <f t="shared" si="27"/>
        <v>898773031.5937978</v>
      </c>
      <c r="CN55" s="58"/>
      <c r="CO55" s="58"/>
      <c r="CP55" s="58"/>
      <c r="CQ55" s="58"/>
      <c r="CR55" s="58"/>
      <c r="CS55" s="58"/>
      <c r="CT55" s="58"/>
      <c r="CU55" s="58"/>
      <c r="CV55" s="58"/>
      <c r="CW55" s="58"/>
      <c r="CX55" s="58"/>
      <c r="CY55" s="58"/>
      <c r="CZ55" s="58"/>
      <c r="DA55" s="58"/>
      <c r="DB55" s="58"/>
      <c r="DC55" s="58"/>
      <c r="DD55" s="58"/>
      <c r="DE55" s="58"/>
      <c r="DF55" s="58"/>
      <c r="DG55" s="58"/>
      <c r="DH55" s="58"/>
      <c r="DI55" s="58"/>
      <c r="DJ55" s="58"/>
      <c r="DK55" s="58"/>
      <c r="DL55" s="58"/>
      <c r="DM55" s="58"/>
      <c r="DN55" s="58"/>
      <c r="DO55" s="58"/>
      <c r="DP55" s="58"/>
      <c r="DQ55" s="58"/>
      <c r="DR55" s="58"/>
      <c r="DS55" s="58"/>
      <c r="DT55" s="58"/>
      <c r="DU55" s="58"/>
      <c r="DV55" s="58"/>
      <c r="DW55" s="58"/>
      <c r="DX55" s="58"/>
      <c r="DY55" s="58"/>
      <c r="DZ55" s="58"/>
      <c r="EA55" s="58"/>
      <c r="EB55" s="58"/>
      <c r="EC55" s="58"/>
      <c r="ED55" s="58"/>
      <c r="EE55" s="58"/>
      <c r="EF55" s="58"/>
      <c r="EG55" s="58"/>
      <c r="EH55" s="58"/>
      <c r="EI55" s="58"/>
      <c r="EJ55" s="58"/>
      <c r="EK55" s="58"/>
      <c r="EL55" s="58"/>
      <c r="EM55" s="58"/>
      <c r="EN55" s="58"/>
      <c r="EO55" s="58"/>
      <c r="EP55" s="58"/>
      <c r="EQ55" s="58"/>
      <c r="ER55" s="58"/>
      <c r="ES55" s="58"/>
      <c r="ET55" s="58"/>
      <c r="EU55" s="58"/>
      <c r="EV55" s="58"/>
      <c r="EW55" s="58"/>
      <c r="EX55" s="58"/>
      <c r="EY55" s="58"/>
      <c r="EZ55" s="58"/>
      <c r="FA55" s="58"/>
      <c r="FB55" s="58"/>
      <c r="FC55" s="58"/>
      <c r="FD55" s="58"/>
      <c r="FE55" s="58"/>
      <c r="FF55" s="58"/>
      <c r="FG55" s="58"/>
      <c r="FH55" s="58"/>
      <c r="FI55" s="58"/>
      <c r="FJ55" s="58"/>
      <c r="FK55" s="58"/>
      <c r="FL55" s="58"/>
      <c r="FM55" s="58"/>
      <c r="FN55" s="58"/>
      <c r="FO55" s="58"/>
      <c r="FP55" s="58"/>
      <c r="FQ55" s="58"/>
      <c r="FR55" s="58"/>
      <c r="FS55" s="58"/>
      <c r="FT55" s="58"/>
      <c r="FU55" s="58"/>
      <c r="FV55" s="58"/>
    </row>
    <row r="56" spans="1:178">
      <c r="A56" s="1060" t="s">
        <v>343</v>
      </c>
      <c r="B56" s="286" t="s">
        <v>312</v>
      </c>
      <c r="C56" s="356" t="s">
        <v>344</v>
      </c>
      <c r="D56" s="471"/>
      <c r="E56" s="357" t="s">
        <v>345</v>
      </c>
      <c r="F56" s="358" t="s">
        <v>183</v>
      </c>
      <c r="G56" s="356">
        <v>61200</v>
      </c>
      <c r="H56" s="356">
        <v>59900</v>
      </c>
      <c r="I56" s="356">
        <v>56300</v>
      </c>
      <c r="J56" s="356">
        <v>55700</v>
      </c>
      <c r="K56" s="356">
        <v>56300</v>
      </c>
      <c r="L56" s="356">
        <v>58150</v>
      </c>
      <c r="M56" s="356">
        <v>53250</v>
      </c>
      <c r="N56" s="356">
        <v>56120</v>
      </c>
      <c r="O56" s="356">
        <v>54550</v>
      </c>
      <c r="P56" s="356">
        <v>53770</v>
      </c>
      <c r="Q56" s="356">
        <v>49150</v>
      </c>
      <c r="R56" s="357">
        <v>50422</v>
      </c>
      <c r="S56" s="472">
        <v>63830</v>
      </c>
      <c r="T56" s="472">
        <v>65270</v>
      </c>
      <c r="U56" s="472">
        <v>63660</v>
      </c>
      <c r="V56" s="472">
        <v>62890</v>
      </c>
      <c r="W56" s="472">
        <v>59990</v>
      </c>
      <c r="X56" s="472">
        <v>61910</v>
      </c>
      <c r="Y56" s="472">
        <v>63893.9</v>
      </c>
      <c r="Z56" s="472">
        <v>65649.599999999991</v>
      </c>
      <c r="AA56" s="472">
        <v>65504.1</v>
      </c>
      <c r="AB56" s="472">
        <v>65533.2</v>
      </c>
      <c r="AC56" s="472">
        <v>66086.099999999991</v>
      </c>
      <c r="AD56" s="472">
        <v>66018.2</v>
      </c>
      <c r="AE56" s="472">
        <v>67706</v>
      </c>
      <c r="AF56" s="472">
        <v>69975.8</v>
      </c>
      <c r="AG56" s="472">
        <v>72653</v>
      </c>
      <c r="AH56" s="472">
        <v>72400.800000000003</v>
      </c>
      <c r="AI56" s="472">
        <v>72526.899999999994</v>
      </c>
      <c r="AJ56" s="472">
        <v>73943.099999999991</v>
      </c>
      <c r="AK56" s="472">
        <v>74253.5</v>
      </c>
      <c r="AL56" s="472">
        <v>70616</v>
      </c>
      <c r="AM56" s="472">
        <v>68452.899999999994</v>
      </c>
      <c r="AN56" s="472">
        <v>69209.5</v>
      </c>
      <c r="AO56" s="472">
        <v>68404.399999999994</v>
      </c>
      <c r="AP56" s="472">
        <v>68520.800000000003</v>
      </c>
      <c r="AQ56" s="472">
        <v>70034</v>
      </c>
      <c r="AR56" s="472">
        <v>70257.099999999991</v>
      </c>
      <c r="AS56" s="472">
        <v>66367.399999999994</v>
      </c>
      <c r="AT56" s="473">
        <v>66823.3</v>
      </c>
      <c r="AU56" s="472">
        <v>68191</v>
      </c>
      <c r="AV56" s="472">
        <v>74650</v>
      </c>
      <c r="AW56" s="472">
        <v>74650</v>
      </c>
      <c r="AX56" s="472">
        <v>74038</v>
      </c>
      <c r="AY56" s="472">
        <v>77038</v>
      </c>
      <c r="AZ56" s="472">
        <v>85370</v>
      </c>
      <c r="BA56" s="472">
        <v>86820</v>
      </c>
      <c r="BB56" s="472">
        <v>87660</v>
      </c>
      <c r="BC56" s="472">
        <v>84450</v>
      </c>
      <c r="BD56" s="472">
        <v>87130</v>
      </c>
      <c r="BE56" s="472">
        <v>85840</v>
      </c>
      <c r="BF56" s="474">
        <v>69920</v>
      </c>
      <c r="BG56" s="474">
        <v>73060</v>
      </c>
      <c r="BH56" s="474">
        <v>73390</v>
      </c>
      <c r="BI56" s="474">
        <v>71080</v>
      </c>
      <c r="BJ56" s="474">
        <v>71100</v>
      </c>
      <c r="BK56" s="474">
        <v>69220</v>
      </c>
      <c r="BL56" s="474">
        <v>73140</v>
      </c>
      <c r="BM56" s="474">
        <v>75100</v>
      </c>
      <c r="BN56" s="474">
        <v>76560</v>
      </c>
      <c r="BO56" s="474">
        <v>75820</v>
      </c>
      <c r="BP56" s="474">
        <v>74240</v>
      </c>
      <c r="BQ56" s="474">
        <v>74180</v>
      </c>
      <c r="BR56" s="474">
        <v>74790</v>
      </c>
      <c r="BS56" s="474">
        <v>76180</v>
      </c>
      <c r="BT56" s="474">
        <v>75130</v>
      </c>
      <c r="BU56" s="474">
        <v>70280</v>
      </c>
      <c r="BV56" s="474">
        <v>65840</v>
      </c>
      <c r="BW56" s="474">
        <v>73050</v>
      </c>
      <c r="BX56" s="474">
        <v>75370</v>
      </c>
      <c r="BY56" s="474">
        <v>78360</v>
      </c>
      <c r="BZ56" s="474">
        <v>85450</v>
      </c>
      <c r="CA56" s="474">
        <v>93490</v>
      </c>
      <c r="CB56" s="474">
        <v>98520</v>
      </c>
      <c r="CC56" s="474">
        <v>110130</v>
      </c>
      <c r="CD56" s="474">
        <v>118350</v>
      </c>
      <c r="CE56" s="474">
        <v>118720</v>
      </c>
      <c r="CF56" s="474">
        <v>122550</v>
      </c>
      <c r="CG56" s="474">
        <v>127300</v>
      </c>
      <c r="CH56" s="474">
        <v>129000</v>
      </c>
      <c r="CI56" s="474">
        <v>124550</v>
      </c>
      <c r="CJ56" s="474">
        <v>118450</v>
      </c>
      <c r="CK56" s="474">
        <v>112300</v>
      </c>
      <c r="CL56" s="475">
        <v>115700</v>
      </c>
      <c r="CM56" s="75">
        <f t="shared" si="27"/>
        <v>75992.245238095231</v>
      </c>
      <c r="CN56" s="58"/>
      <c r="CO56" s="58"/>
      <c r="CP56" s="58"/>
      <c r="CQ56" s="58"/>
      <c r="CR56" s="58"/>
      <c r="CS56" s="58"/>
      <c r="CT56" s="58"/>
      <c r="CU56" s="58"/>
      <c r="CV56" s="58"/>
      <c r="CW56" s="58"/>
      <c r="CX56" s="58"/>
      <c r="CY56" s="58"/>
      <c r="CZ56" s="58"/>
      <c r="DA56" s="58"/>
      <c r="DB56" s="58"/>
      <c r="DC56" s="58"/>
      <c r="DD56" s="58"/>
      <c r="DE56" s="58"/>
      <c r="DF56" s="58"/>
      <c r="DG56" s="58"/>
      <c r="DH56" s="58"/>
      <c r="DI56" s="58"/>
      <c r="DJ56" s="58"/>
      <c r="DK56" s="58"/>
      <c r="DL56" s="58"/>
      <c r="DM56" s="58"/>
      <c r="DN56" s="58"/>
      <c r="DO56" s="58"/>
      <c r="DP56" s="58"/>
      <c r="DQ56" s="58"/>
      <c r="DR56" s="58"/>
      <c r="DS56" s="58"/>
      <c r="DT56" s="58"/>
      <c r="DU56" s="58"/>
      <c r="DV56" s="58"/>
      <c r="DW56" s="58"/>
      <c r="DX56" s="58"/>
      <c r="DY56" s="58"/>
      <c r="DZ56" s="58"/>
      <c r="EA56" s="58"/>
      <c r="EB56" s="58"/>
      <c r="EC56" s="58"/>
      <c r="ED56" s="58"/>
      <c r="EE56" s="58"/>
      <c r="EF56" s="58"/>
      <c r="EG56" s="58"/>
      <c r="EH56" s="58"/>
      <c r="EI56" s="58"/>
      <c r="EJ56" s="58"/>
      <c r="EK56" s="58"/>
      <c r="EL56" s="58"/>
      <c r="EM56" s="58"/>
      <c r="EN56" s="58"/>
      <c r="EO56" s="58"/>
      <c r="EP56" s="58"/>
      <c r="EQ56" s="58"/>
      <c r="ER56" s="58"/>
      <c r="ES56" s="58"/>
      <c r="ET56" s="58"/>
      <c r="EU56" s="58"/>
      <c r="EV56" s="58"/>
      <c r="EW56" s="58"/>
      <c r="EX56" s="58"/>
      <c r="EY56" s="58"/>
      <c r="EZ56" s="58"/>
      <c r="FA56" s="58"/>
      <c r="FB56" s="58"/>
      <c r="FC56" s="58"/>
      <c r="FD56" s="58"/>
      <c r="FE56" s="58"/>
      <c r="FF56" s="58"/>
      <c r="FG56" s="58"/>
      <c r="FH56" s="58"/>
      <c r="FI56" s="58"/>
      <c r="FJ56" s="58"/>
      <c r="FK56" s="58"/>
      <c r="FL56" s="58"/>
      <c r="FM56" s="58"/>
      <c r="FN56" s="58"/>
      <c r="FO56" s="58"/>
      <c r="FP56" s="58"/>
      <c r="FQ56" s="58"/>
      <c r="FR56" s="58"/>
      <c r="FS56" s="58"/>
      <c r="FT56" s="58"/>
      <c r="FU56" s="58"/>
      <c r="FV56" s="58"/>
    </row>
    <row r="57" spans="1:178">
      <c r="A57" s="1062"/>
      <c r="B57" s="224" t="s">
        <v>312</v>
      </c>
      <c r="C57" s="367" t="s">
        <v>344</v>
      </c>
      <c r="D57" s="476"/>
      <c r="E57" s="236" t="s">
        <v>352</v>
      </c>
      <c r="F57" s="978" t="s">
        <v>346</v>
      </c>
      <c r="G57" s="367">
        <v>77300</v>
      </c>
      <c r="H57" s="367">
        <v>75200</v>
      </c>
      <c r="I57" s="367">
        <v>72150</v>
      </c>
      <c r="J57" s="367">
        <v>70700</v>
      </c>
      <c r="K57" s="367">
        <v>71399</v>
      </c>
      <c r="L57" s="367">
        <v>74500</v>
      </c>
      <c r="M57" s="367">
        <v>72800</v>
      </c>
      <c r="N57" s="367">
        <v>69900</v>
      </c>
      <c r="O57" s="367">
        <v>65300</v>
      </c>
      <c r="P57" s="367">
        <v>67800</v>
      </c>
      <c r="Q57" s="367">
        <v>65900</v>
      </c>
      <c r="R57" s="236">
        <v>63400</v>
      </c>
      <c r="S57" s="477">
        <f t="shared" ref="S57:AS57" si="69">S56*0.95</f>
        <v>60638.5</v>
      </c>
      <c r="T57" s="477">
        <f t="shared" si="69"/>
        <v>62006.5</v>
      </c>
      <c r="U57" s="477">
        <f t="shared" si="69"/>
        <v>60477</v>
      </c>
      <c r="V57" s="477">
        <f t="shared" si="69"/>
        <v>59745.5</v>
      </c>
      <c r="W57" s="477">
        <f t="shared" si="69"/>
        <v>56990.5</v>
      </c>
      <c r="X57" s="477">
        <f t="shared" si="69"/>
        <v>58814.5</v>
      </c>
      <c r="Y57" s="477">
        <f t="shared" si="69"/>
        <v>60699.205000000002</v>
      </c>
      <c r="Z57" s="477">
        <f t="shared" si="69"/>
        <v>62367.119999999988</v>
      </c>
      <c r="AA57" s="477">
        <f t="shared" si="69"/>
        <v>62228.894999999997</v>
      </c>
      <c r="AB57" s="477">
        <f t="shared" si="69"/>
        <v>62256.539999999994</v>
      </c>
      <c r="AC57" s="477">
        <f t="shared" si="69"/>
        <v>62781.794999999991</v>
      </c>
      <c r="AD57" s="477">
        <f t="shared" si="69"/>
        <v>62717.289999999994</v>
      </c>
      <c r="AE57" s="477">
        <f t="shared" si="69"/>
        <v>64320.7</v>
      </c>
      <c r="AF57" s="477">
        <f t="shared" si="69"/>
        <v>66477.009999999995</v>
      </c>
      <c r="AG57" s="477">
        <f t="shared" si="69"/>
        <v>69020.349999999991</v>
      </c>
      <c r="AH57" s="477">
        <f t="shared" si="69"/>
        <v>68780.759999999995</v>
      </c>
      <c r="AI57" s="477">
        <f t="shared" si="69"/>
        <v>68900.554999999993</v>
      </c>
      <c r="AJ57" s="477">
        <f t="shared" si="69"/>
        <v>70245.944999999992</v>
      </c>
      <c r="AK57" s="477">
        <f t="shared" si="69"/>
        <v>70540.824999999997</v>
      </c>
      <c r="AL57" s="477">
        <f t="shared" si="69"/>
        <v>67085.2</v>
      </c>
      <c r="AM57" s="477">
        <f t="shared" si="69"/>
        <v>65030.25499999999</v>
      </c>
      <c r="AN57" s="477">
        <f t="shared" si="69"/>
        <v>65749.024999999994</v>
      </c>
      <c r="AO57" s="477">
        <f t="shared" si="69"/>
        <v>64984.179999999993</v>
      </c>
      <c r="AP57" s="477">
        <f t="shared" si="69"/>
        <v>65094.76</v>
      </c>
      <c r="AQ57" s="477">
        <f t="shared" si="69"/>
        <v>66532.3</v>
      </c>
      <c r="AR57" s="477">
        <f t="shared" si="69"/>
        <v>66744.244999999995</v>
      </c>
      <c r="AS57" s="477">
        <f t="shared" si="69"/>
        <v>63049.029999999992</v>
      </c>
      <c r="AT57" s="477">
        <f>AT56*0.95</f>
        <v>63482.135000000002</v>
      </c>
      <c r="AU57" s="477">
        <f t="shared" ref="AU57:CL57" si="70">AU56*0.95</f>
        <v>64781.45</v>
      </c>
      <c r="AV57" s="477">
        <f t="shared" si="70"/>
        <v>70917.5</v>
      </c>
      <c r="AW57" s="477">
        <f t="shared" si="70"/>
        <v>70917.5</v>
      </c>
      <c r="AX57" s="477">
        <f t="shared" si="70"/>
        <v>70336.099999999991</v>
      </c>
      <c r="AY57" s="477">
        <f t="shared" si="70"/>
        <v>73186.099999999991</v>
      </c>
      <c r="AZ57" s="477">
        <f t="shared" si="70"/>
        <v>81101.5</v>
      </c>
      <c r="BA57" s="477">
        <f t="shared" si="70"/>
        <v>82479</v>
      </c>
      <c r="BB57" s="477">
        <f t="shared" si="70"/>
        <v>83277</v>
      </c>
      <c r="BC57" s="477">
        <f t="shared" si="70"/>
        <v>80227.5</v>
      </c>
      <c r="BD57" s="477">
        <f t="shared" si="70"/>
        <v>82773.5</v>
      </c>
      <c r="BE57" s="477">
        <f t="shared" si="70"/>
        <v>81548</v>
      </c>
      <c r="BF57" s="478">
        <f t="shared" si="70"/>
        <v>66424</v>
      </c>
      <c r="BG57" s="478">
        <f t="shared" si="70"/>
        <v>69407</v>
      </c>
      <c r="BH57" s="478">
        <f t="shared" si="70"/>
        <v>69720.5</v>
      </c>
      <c r="BI57" s="478">
        <f t="shared" si="70"/>
        <v>67526</v>
      </c>
      <c r="BJ57" s="478">
        <f t="shared" si="70"/>
        <v>67545</v>
      </c>
      <c r="BK57" s="478">
        <f t="shared" si="70"/>
        <v>65759</v>
      </c>
      <c r="BL57" s="478">
        <f t="shared" si="70"/>
        <v>69483</v>
      </c>
      <c r="BM57" s="478">
        <f t="shared" si="70"/>
        <v>71345</v>
      </c>
      <c r="BN57" s="478">
        <f t="shared" si="70"/>
        <v>72732</v>
      </c>
      <c r="BO57" s="478">
        <f t="shared" si="70"/>
        <v>72029</v>
      </c>
      <c r="BP57" s="478">
        <f t="shared" si="70"/>
        <v>70528</v>
      </c>
      <c r="BQ57" s="478">
        <f t="shared" si="70"/>
        <v>70471</v>
      </c>
      <c r="BR57" s="478">
        <f t="shared" si="70"/>
        <v>71050.5</v>
      </c>
      <c r="BS57" s="478">
        <f t="shared" si="70"/>
        <v>72371</v>
      </c>
      <c r="BT57" s="478">
        <f t="shared" si="70"/>
        <v>71373.5</v>
      </c>
      <c r="BU57" s="478">
        <f t="shared" si="70"/>
        <v>66766</v>
      </c>
      <c r="BV57" s="478">
        <f t="shared" si="70"/>
        <v>62548</v>
      </c>
      <c r="BW57" s="478">
        <f t="shared" si="70"/>
        <v>69397.5</v>
      </c>
      <c r="BX57" s="478">
        <f t="shared" si="70"/>
        <v>71601.5</v>
      </c>
      <c r="BY57" s="478">
        <f t="shared" si="70"/>
        <v>74442</v>
      </c>
      <c r="BZ57" s="478">
        <f t="shared" si="70"/>
        <v>81177.5</v>
      </c>
      <c r="CA57" s="478">
        <f t="shared" si="70"/>
        <v>88815.5</v>
      </c>
      <c r="CB57" s="478">
        <f t="shared" si="70"/>
        <v>93594</v>
      </c>
      <c r="CC57" s="478">
        <f t="shared" si="70"/>
        <v>104623.5</v>
      </c>
      <c r="CD57" s="478">
        <f t="shared" si="70"/>
        <v>112432.5</v>
      </c>
      <c r="CE57" s="478">
        <f t="shared" si="70"/>
        <v>112784</v>
      </c>
      <c r="CF57" s="478">
        <f t="shared" si="70"/>
        <v>116422.5</v>
      </c>
      <c r="CG57" s="478">
        <f t="shared" si="70"/>
        <v>120935</v>
      </c>
      <c r="CH57" s="478">
        <f t="shared" si="70"/>
        <v>122550</v>
      </c>
      <c r="CI57" s="478">
        <f t="shared" si="70"/>
        <v>118322.5</v>
      </c>
      <c r="CJ57" s="478">
        <f t="shared" si="70"/>
        <v>112527.5</v>
      </c>
      <c r="CK57" s="478">
        <f t="shared" si="70"/>
        <v>106685</v>
      </c>
      <c r="CL57" s="479">
        <f t="shared" si="70"/>
        <v>109915</v>
      </c>
      <c r="CM57" s="75">
        <f t="shared" si="27"/>
        <v>74749.509166666656</v>
      </c>
      <c r="CN57" s="58"/>
      <c r="CO57" s="58"/>
      <c r="CP57" s="58"/>
      <c r="CQ57" s="58"/>
      <c r="CR57" s="58"/>
      <c r="CS57" s="58"/>
      <c r="CT57" s="58"/>
      <c r="CU57" s="58"/>
      <c r="CV57" s="58"/>
      <c r="CW57" s="58"/>
      <c r="CX57" s="58"/>
      <c r="CY57" s="58"/>
      <c r="CZ57" s="58"/>
      <c r="DA57" s="58"/>
      <c r="DB57" s="58"/>
      <c r="DC57" s="58"/>
      <c r="DD57" s="58"/>
      <c r="DE57" s="58"/>
      <c r="DF57" s="58"/>
      <c r="DG57" s="58"/>
      <c r="DH57" s="58"/>
      <c r="DI57" s="58"/>
      <c r="DJ57" s="58"/>
      <c r="DK57" s="58"/>
      <c r="DL57" s="58"/>
      <c r="DM57" s="58"/>
      <c r="DN57" s="58"/>
      <c r="DO57" s="58"/>
      <c r="DP57" s="58"/>
      <c r="DQ57" s="58"/>
      <c r="DR57" s="58"/>
      <c r="DS57" s="58"/>
      <c r="DT57" s="58"/>
      <c r="DU57" s="58"/>
      <c r="DV57" s="58"/>
      <c r="DW57" s="58"/>
      <c r="DX57" s="58"/>
      <c r="DY57" s="58"/>
      <c r="DZ57" s="58"/>
      <c r="EA57" s="58"/>
      <c r="EB57" s="58"/>
      <c r="EC57" s="58"/>
      <c r="ED57" s="58"/>
      <c r="EE57" s="58"/>
      <c r="EF57" s="58"/>
      <c r="EG57" s="58"/>
      <c r="EH57" s="58"/>
      <c r="EI57" s="58"/>
      <c r="EJ57" s="58"/>
      <c r="EK57" s="58"/>
      <c r="EL57" s="58"/>
      <c r="EM57" s="58"/>
      <c r="EN57" s="58"/>
      <c r="EO57" s="58"/>
      <c r="EP57" s="58"/>
      <c r="EQ57" s="58"/>
      <c r="ER57" s="58"/>
      <c r="ES57" s="58"/>
      <c r="ET57" s="58"/>
      <c r="EU57" s="58"/>
      <c r="EV57" s="58"/>
      <c r="EW57" s="58"/>
      <c r="EX57" s="58"/>
      <c r="EY57" s="58"/>
      <c r="EZ57" s="58"/>
      <c r="FA57" s="58"/>
      <c r="FB57" s="58"/>
      <c r="FC57" s="58"/>
      <c r="FD57" s="58"/>
      <c r="FE57" s="58"/>
      <c r="FF57" s="58"/>
      <c r="FG57" s="58"/>
      <c r="FH57" s="58"/>
      <c r="FI57" s="58"/>
      <c r="FJ57" s="58"/>
      <c r="FK57" s="58"/>
      <c r="FL57" s="58"/>
      <c r="FM57" s="58"/>
      <c r="FN57" s="58"/>
      <c r="FO57" s="58"/>
      <c r="FP57" s="58"/>
      <c r="FQ57" s="58"/>
      <c r="FR57" s="58"/>
      <c r="FS57" s="58"/>
      <c r="FT57" s="58"/>
      <c r="FU57" s="58"/>
      <c r="FV57" s="58"/>
    </row>
    <row r="58" spans="1:178">
      <c r="A58" s="58"/>
      <c r="B58" s="58"/>
      <c r="C58" s="58"/>
      <c r="D58" s="58"/>
      <c r="E58" s="58"/>
      <c r="F58" s="480"/>
      <c r="G58" s="480"/>
      <c r="H58" s="480"/>
      <c r="I58" s="480"/>
      <c r="J58" s="480"/>
      <c r="K58" s="480"/>
      <c r="L58" s="480"/>
      <c r="M58" s="480"/>
      <c r="N58" s="480"/>
      <c r="O58" s="480"/>
      <c r="P58" s="480"/>
      <c r="Q58" s="480"/>
      <c r="R58" s="480"/>
      <c r="S58" s="481"/>
      <c r="T58" s="481"/>
      <c r="U58" s="481"/>
      <c r="V58" s="481"/>
      <c r="W58" s="481"/>
      <c r="X58" s="481"/>
      <c r="Y58" s="481"/>
      <c r="Z58" s="481"/>
      <c r="AA58" s="481"/>
      <c r="AB58" s="481"/>
      <c r="AC58" s="481"/>
      <c r="AD58" s="481"/>
      <c r="AE58" s="481"/>
      <c r="AF58" s="481"/>
      <c r="AG58" s="481"/>
      <c r="AH58" s="481"/>
      <c r="AI58" s="481"/>
      <c r="AJ58" s="481"/>
      <c r="AK58" s="481"/>
      <c r="AL58" s="481"/>
      <c r="AM58" s="481"/>
      <c r="AN58" s="481"/>
      <c r="AO58" s="481"/>
      <c r="AP58" s="481"/>
      <c r="AQ58" s="481"/>
      <c r="AR58" s="481"/>
      <c r="AS58" s="481"/>
      <c r="AT58" s="482">
        <v>8000</v>
      </c>
      <c r="AU58" s="481"/>
      <c r="AV58" s="481"/>
      <c r="AW58" s="481"/>
      <c r="AX58" s="481"/>
      <c r="AY58" s="481"/>
      <c r="AZ58" s="481"/>
      <c r="BA58" s="481"/>
      <c r="BB58" s="481"/>
      <c r="BC58" s="481"/>
      <c r="BD58" s="481"/>
      <c r="BE58" s="481"/>
      <c r="BF58" s="481"/>
      <c r="BG58" s="481"/>
      <c r="BH58" s="481"/>
      <c r="BI58" s="481"/>
      <c r="BJ58" s="481"/>
      <c r="BK58" s="481"/>
      <c r="BL58" s="481"/>
      <c r="BM58" s="481"/>
      <c r="BN58" s="481"/>
      <c r="BO58" s="481"/>
      <c r="BP58" s="481"/>
      <c r="BQ58" s="481"/>
      <c r="BR58" s="481"/>
      <c r="BS58" s="481"/>
      <c r="BT58" s="481"/>
      <c r="BU58" s="481"/>
      <c r="BV58" s="481"/>
      <c r="BW58" s="481"/>
      <c r="BX58" s="481"/>
      <c r="BY58" s="481"/>
      <c r="BZ58" s="481"/>
      <c r="CA58" s="481"/>
      <c r="CB58" s="481"/>
      <c r="CC58" s="481"/>
      <c r="CD58" s="481"/>
      <c r="CE58" s="481"/>
      <c r="CF58" s="481"/>
      <c r="CG58" s="481"/>
      <c r="CH58" s="481"/>
      <c r="CI58" s="481"/>
      <c r="CJ58" s="481"/>
      <c r="CK58" s="481"/>
      <c r="CL58" s="481"/>
      <c r="CM58" s="415"/>
      <c r="CN58" s="58"/>
      <c r="CO58" s="58"/>
      <c r="CP58" s="58"/>
      <c r="CQ58" s="58"/>
      <c r="CR58" s="58"/>
      <c r="CS58" s="58"/>
      <c r="CT58" s="58"/>
      <c r="CU58" s="58"/>
      <c r="CV58" s="58"/>
      <c r="CW58" s="58"/>
      <c r="CX58" s="58"/>
      <c r="CY58" s="58"/>
      <c r="CZ58" s="58"/>
      <c r="DA58" s="58"/>
      <c r="DB58" s="58"/>
      <c r="DC58" s="58"/>
      <c r="DD58" s="58"/>
      <c r="DE58" s="58"/>
      <c r="DF58" s="58"/>
      <c r="DG58" s="58"/>
      <c r="DH58" s="58"/>
      <c r="DI58" s="58"/>
      <c r="DJ58" s="58"/>
      <c r="DK58" s="58"/>
      <c r="DL58" s="58"/>
      <c r="DM58" s="58"/>
      <c r="DN58" s="58"/>
      <c r="DO58" s="58"/>
      <c r="DP58" s="58"/>
      <c r="DQ58" s="58"/>
      <c r="DR58" s="58"/>
      <c r="DS58" s="58"/>
      <c r="DT58" s="58"/>
      <c r="DU58" s="58"/>
      <c r="DV58" s="58"/>
      <c r="DW58" s="58"/>
      <c r="DX58" s="58"/>
      <c r="DY58" s="58"/>
      <c r="DZ58" s="58"/>
      <c r="EA58" s="58"/>
      <c r="EB58" s="58"/>
      <c r="EC58" s="58"/>
      <c r="ED58" s="58"/>
      <c r="EE58" s="58"/>
      <c r="EF58" s="58"/>
      <c r="EG58" s="58"/>
      <c r="EH58" s="58"/>
      <c r="EI58" s="58"/>
      <c r="EJ58" s="58"/>
      <c r="EK58" s="58"/>
      <c r="EL58" s="58"/>
      <c r="EM58" s="58"/>
      <c r="EN58" s="58"/>
      <c r="EO58" s="58"/>
      <c r="EP58" s="58"/>
      <c r="EQ58" s="58"/>
      <c r="ER58" s="58"/>
      <c r="ES58" s="58"/>
      <c r="ET58" s="58"/>
      <c r="EU58" s="58"/>
      <c r="EV58" s="58"/>
      <c r="EW58" s="58"/>
      <c r="EX58" s="58"/>
      <c r="EY58" s="58"/>
      <c r="EZ58" s="58"/>
      <c r="FA58" s="58"/>
      <c r="FB58" s="58"/>
      <c r="FC58" s="58"/>
      <c r="FD58" s="58"/>
      <c r="FE58" s="58"/>
      <c r="FF58" s="58"/>
      <c r="FG58" s="58"/>
      <c r="FH58" s="58"/>
      <c r="FI58" s="58"/>
      <c r="FJ58" s="58"/>
      <c r="FK58" s="58"/>
      <c r="FL58" s="58"/>
      <c r="FM58" s="58"/>
      <c r="FN58" s="58"/>
      <c r="FO58" s="58"/>
      <c r="FP58" s="58"/>
      <c r="FQ58" s="58"/>
      <c r="FR58" s="58"/>
      <c r="FS58" s="58"/>
      <c r="FT58" s="58"/>
      <c r="FU58" s="58"/>
      <c r="FV58" s="58"/>
    </row>
    <row r="59" spans="1:178" ht="12.75" customHeight="1">
      <c r="A59" s="1055" t="s">
        <v>420</v>
      </c>
      <c r="B59" s="1055"/>
      <c r="C59" s="1055"/>
      <c r="D59" s="1055"/>
      <c r="E59" s="1056"/>
      <c r="F59" s="483" t="s">
        <v>184</v>
      </c>
      <c r="G59" s="483"/>
      <c r="H59" s="483"/>
      <c r="I59" s="483"/>
      <c r="J59" s="483"/>
      <c r="K59" s="483"/>
      <c r="L59" s="483"/>
      <c r="M59" s="483"/>
      <c r="N59" s="483"/>
      <c r="O59" s="483"/>
      <c r="P59" s="483"/>
      <c r="Q59" s="483"/>
      <c r="R59" s="483"/>
      <c r="S59" s="484"/>
      <c r="T59" s="484"/>
      <c r="U59" s="484"/>
      <c r="V59" s="484"/>
      <c r="W59" s="484"/>
      <c r="X59" s="484"/>
      <c r="Y59" s="484"/>
      <c r="Z59" s="484"/>
      <c r="AA59" s="484"/>
      <c r="AB59" s="484"/>
      <c r="AC59" s="484"/>
      <c r="AD59" s="484"/>
      <c r="AE59" s="484"/>
      <c r="AF59" s="484"/>
      <c r="AG59" s="484"/>
      <c r="AH59" s="484"/>
      <c r="AI59" s="484"/>
      <c r="AJ59" s="484"/>
      <c r="AK59" s="484"/>
      <c r="AL59" s="484"/>
      <c r="AM59" s="484"/>
      <c r="AN59" s="484"/>
      <c r="AO59" s="484"/>
      <c r="AP59" s="484"/>
      <c r="AQ59" s="484"/>
      <c r="AR59" s="484"/>
      <c r="AS59" s="484"/>
      <c r="AT59" s="485"/>
      <c r="AU59" s="359"/>
      <c r="AV59" s="359"/>
      <c r="AW59" s="359"/>
      <c r="AX59" s="359"/>
      <c r="AY59" s="359"/>
      <c r="AZ59" s="359"/>
      <c r="BA59" s="359"/>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59"/>
      <c r="CL59" s="359"/>
      <c r="CM59" s="484"/>
      <c r="CN59" s="58"/>
      <c r="CO59" s="58"/>
      <c r="CP59" s="58"/>
      <c r="CQ59" s="58"/>
      <c r="CR59" s="58"/>
      <c r="CS59" s="58"/>
      <c r="CT59" s="58"/>
      <c r="CU59" s="58"/>
      <c r="CV59" s="58"/>
      <c r="CW59" s="58"/>
      <c r="CX59" s="58"/>
      <c r="CY59" s="58"/>
      <c r="CZ59" s="58"/>
      <c r="DA59" s="58"/>
      <c r="DB59" s="58"/>
      <c r="DC59" s="58"/>
      <c r="DD59" s="58"/>
      <c r="DE59" s="58"/>
      <c r="DF59" s="58"/>
      <c r="DG59" s="58"/>
      <c r="DH59" s="58"/>
      <c r="DI59" s="58"/>
      <c r="DJ59" s="58"/>
      <c r="DK59" s="58"/>
      <c r="DL59" s="58"/>
      <c r="DM59" s="58"/>
      <c r="DN59" s="58"/>
      <c r="DO59" s="58"/>
      <c r="DP59" s="58"/>
      <c r="DQ59" s="58"/>
      <c r="DR59" s="58"/>
      <c r="DS59" s="58"/>
      <c r="DT59" s="58"/>
      <c r="DU59" s="58"/>
      <c r="DV59" s="58"/>
      <c r="DW59" s="58"/>
      <c r="DX59" s="58"/>
      <c r="DY59" s="58"/>
      <c r="DZ59" s="58"/>
      <c r="EA59" s="58"/>
      <c r="EB59" s="58"/>
      <c r="EC59" s="58"/>
      <c r="ED59" s="58"/>
      <c r="EE59" s="58"/>
      <c r="EF59" s="58"/>
      <c r="EG59" s="58"/>
      <c r="EH59" s="58"/>
      <c r="EI59" s="58"/>
      <c r="EJ59" s="58"/>
      <c r="EK59" s="58"/>
      <c r="EL59" s="58"/>
      <c r="EM59" s="58"/>
      <c r="EN59" s="58"/>
      <c r="EO59" s="58"/>
      <c r="EP59" s="58"/>
      <c r="EQ59" s="58"/>
      <c r="ER59" s="58"/>
      <c r="ES59" s="58"/>
      <c r="ET59" s="58"/>
      <c r="EU59" s="58"/>
      <c r="EV59" s="58"/>
      <c r="EW59" s="58"/>
      <c r="EX59" s="58"/>
      <c r="EY59" s="58"/>
      <c r="EZ59" s="58"/>
      <c r="FA59" s="58"/>
      <c r="FB59" s="58"/>
      <c r="FC59" s="58"/>
      <c r="FD59" s="58"/>
      <c r="FE59" s="58"/>
      <c r="FF59" s="58"/>
      <c r="FG59" s="58"/>
      <c r="FH59" s="58"/>
      <c r="FI59" s="58"/>
      <c r="FJ59" s="58"/>
      <c r="FK59" s="58"/>
      <c r="FL59" s="58"/>
      <c r="FM59" s="58"/>
      <c r="FN59" s="58"/>
      <c r="FO59" s="58"/>
      <c r="FP59" s="58"/>
      <c r="FQ59" s="58"/>
      <c r="FR59" s="58"/>
      <c r="FS59" s="58"/>
      <c r="FT59" s="58"/>
      <c r="FU59" s="58"/>
      <c r="FV59" s="58"/>
    </row>
    <row r="60" spans="1:178">
      <c r="A60" s="1055"/>
      <c r="B60" s="1055"/>
      <c r="C60" s="1055"/>
      <c r="D60" s="1055"/>
      <c r="E60" s="1056"/>
      <c r="F60" s="363" t="s">
        <v>185</v>
      </c>
      <c r="G60" s="482">
        <f t="shared" ref="G60:BR61" si="71">G42</f>
        <v>6638289.9524115948</v>
      </c>
      <c r="H60" s="482">
        <f t="shared" si="71"/>
        <v>6638289.9524115948</v>
      </c>
      <c r="I60" s="482">
        <f t="shared" si="71"/>
        <v>6638289.9524115948</v>
      </c>
      <c r="J60" s="482">
        <f t="shared" si="71"/>
        <v>6638289.9524115948</v>
      </c>
      <c r="K60" s="482">
        <f t="shared" si="71"/>
        <v>6638289.9524115948</v>
      </c>
      <c r="L60" s="482">
        <f t="shared" si="71"/>
        <v>6638289.9524115948</v>
      </c>
      <c r="M60" s="482">
        <f t="shared" si="71"/>
        <v>6638289.9524115948</v>
      </c>
      <c r="N60" s="482">
        <f t="shared" si="71"/>
        <v>6638289.9524115948</v>
      </c>
      <c r="O60" s="482">
        <f t="shared" si="71"/>
        <v>6638289.9524115948</v>
      </c>
      <c r="P60" s="482">
        <f t="shared" si="71"/>
        <v>6638289.9524115948</v>
      </c>
      <c r="Q60" s="482">
        <f t="shared" si="71"/>
        <v>6638289.9524115948</v>
      </c>
      <c r="R60" s="482">
        <f t="shared" si="71"/>
        <v>6638289.9524115948</v>
      </c>
      <c r="S60" s="482">
        <f t="shared" si="71"/>
        <v>6638289.9524115948</v>
      </c>
      <c r="T60" s="482">
        <f t="shared" si="71"/>
        <v>6638289.9524115948</v>
      </c>
      <c r="U60" s="482">
        <f t="shared" si="71"/>
        <v>6638289.9524115948</v>
      </c>
      <c r="V60" s="482">
        <f t="shared" si="71"/>
        <v>6638289.9524115948</v>
      </c>
      <c r="W60" s="482">
        <f t="shared" si="71"/>
        <v>6638289.9524115948</v>
      </c>
      <c r="X60" s="482">
        <f t="shared" si="71"/>
        <v>6638289.9524115948</v>
      </c>
      <c r="Y60" s="482">
        <f t="shared" si="71"/>
        <v>6638289.9524115948</v>
      </c>
      <c r="Z60" s="482">
        <f t="shared" si="71"/>
        <v>6638289.9524115948</v>
      </c>
      <c r="AA60" s="482">
        <f t="shared" si="71"/>
        <v>6638289.9524115948</v>
      </c>
      <c r="AB60" s="482">
        <f t="shared" si="71"/>
        <v>6638289.9524115948</v>
      </c>
      <c r="AC60" s="482">
        <f t="shared" si="71"/>
        <v>6638289.9524115948</v>
      </c>
      <c r="AD60" s="482">
        <f t="shared" si="71"/>
        <v>6638289.9524115948</v>
      </c>
      <c r="AE60" s="482">
        <f t="shared" si="71"/>
        <v>6638289.9524115948</v>
      </c>
      <c r="AF60" s="482">
        <f t="shared" si="71"/>
        <v>6638289.9524115948</v>
      </c>
      <c r="AG60" s="482">
        <f t="shared" si="71"/>
        <v>6638289.9524115948</v>
      </c>
      <c r="AH60" s="482">
        <f t="shared" si="71"/>
        <v>6638289.9524115948</v>
      </c>
      <c r="AI60" s="482">
        <f t="shared" si="71"/>
        <v>6638289.9524115948</v>
      </c>
      <c r="AJ60" s="482">
        <f t="shared" si="71"/>
        <v>6638289.9524115948</v>
      </c>
      <c r="AK60" s="482">
        <f t="shared" si="71"/>
        <v>6638289.9524115948</v>
      </c>
      <c r="AL60" s="482">
        <f t="shared" si="71"/>
        <v>6638289.9524115948</v>
      </c>
      <c r="AM60" s="482">
        <f t="shared" si="71"/>
        <v>6638289.9524115948</v>
      </c>
      <c r="AN60" s="482">
        <f t="shared" si="71"/>
        <v>6638289.9524115948</v>
      </c>
      <c r="AO60" s="482">
        <f t="shared" si="71"/>
        <v>6638289.9524115948</v>
      </c>
      <c r="AP60" s="482">
        <f t="shared" si="71"/>
        <v>6638289.9524115948</v>
      </c>
      <c r="AQ60" s="482">
        <f t="shared" si="71"/>
        <v>6638289.9524115948</v>
      </c>
      <c r="AR60" s="482">
        <f t="shared" si="71"/>
        <v>6638289.9524115948</v>
      </c>
      <c r="AS60" s="482">
        <f t="shared" si="71"/>
        <v>6638289.9524115948</v>
      </c>
      <c r="AT60" s="482">
        <f t="shared" si="71"/>
        <v>6638289.9524115948</v>
      </c>
      <c r="AU60" s="319">
        <f t="shared" si="71"/>
        <v>6638289.9524115948</v>
      </c>
      <c r="AV60" s="319">
        <f t="shared" si="71"/>
        <v>6638289.9524115948</v>
      </c>
      <c r="AW60" s="319">
        <f t="shared" si="71"/>
        <v>6638289.9524115948</v>
      </c>
      <c r="AX60" s="319">
        <f t="shared" si="71"/>
        <v>6638289.9524115948</v>
      </c>
      <c r="AY60" s="319">
        <f t="shared" si="71"/>
        <v>6638289.9524115948</v>
      </c>
      <c r="AZ60" s="319">
        <f t="shared" si="71"/>
        <v>6638289.9524115948</v>
      </c>
      <c r="BA60" s="319">
        <f t="shared" si="71"/>
        <v>6638289.9524115948</v>
      </c>
      <c r="BB60" s="319">
        <f t="shared" si="71"/>
        <v>6638289.9524115948</v>
      </c>
      <c r="BC60" s="319">
        <f t="shared" si="71"/>
        <v>6638289.9524115948</v>
      </c>
      <c r="BD60" s="319">
        <f t="shared" si="71"/>
        <v>6638289.9524115948</v>
      </c>
      <c r="BE60" s="319">
        <f t="shared" si="71"/>
        <v>6638289.9524115948</v>
      </c>
      <c r="BF60" s="319">
        <f t="shared" si="71"/>
        <v>6638289.9524115948</v>
      </c>
      <c r="BG60" s="319">
        <f t="shared" si="71"/>
        <v>6638289.9524115948</v>
      </c>
      <c r="BH60" s="319">
        <f t="shared" si="71"/>
        <v>6638289.9524115948</v>
      </c>
      <c r="BI60" s="319">
        <f t="shared" si="71"/>
        <v>6638289.9524115948</v>
      </c>
      <c r="BJ60" s="319">
        <f t="shared" si="71"/>
        <v>6638289.9524115948</v>
      </c>
      <c r="BK60" s="319">
        <f t="shared" si="71"/>
        <v>6638289.9524115948</v>
      </c>
      <c r="BL60" s="319">
        <f t="shared" si="71"/>
        <v>6638289.9524115948</v>
      </c>
      <c r="BM60" s="319">
        <f t="shared" si="71"/>
        <v>6638289.9524115948</v>
      </c>
      <c r="BN60" s="319">
        <f t="shared" si="71"/>
        <v>6638289.9524115948</v>
      </c>
      <c r="BO60" s="319">
        <f t="shared" si="71"/>
        <v>6638289.9524115948</v>
      </c>
      <c r="BP60" s="319">
        <f t="shared" si="71"/>
        <v>6638289.9524115948</v>
      </c>
      <c r="BQ60" s="319">
        <f t="shared" si="71"/>
        <v>6638289.9524115948</v>
      </c>
      <c r="BR60" s="319">
        <f t="shared" si="71"/>
        <v>6638289.9524115948</v>
      </c>
      <c r="BS60" s="319">
        <f t="shared" ref="BS60:CL61" si="72">BS42</f>
        <v>6638289.9524115948</v>
      </c>
      <c r="BT60" s="319">
        <f t="shared" si="72"/>
        <v>6638289.9524115948</v>
      </c>
      <c r="BU60" s="319">
        <f t="shared" si="72"/>
        <v>6638289.9524115948</v>
      </c>
      <c r="BV60" s="319">
        <f t="shared" si="72"/>
        <v>6638289.9524115948</v>
      </c>
      <c r="BW60" s="319">
        <f t="shared" si="72"/>
        <v>6638289.9524115948</v>
      </c>
      <c r="BX60" s="319">
        <f t="shared" si="72"/>
        <v>6638289.9524115948</v>
      </c>
      <c r="BY60" s="319">
        <f t="shared" si="72"/>
        <v>6638289.9524115948</v>
      </c>
      <c r="BZ60" s="319">
        <f t="shared" si="72"/>
        <v>6638289.9524115948</v>
      </c>
      <c r="CA60" s="319">
        <f t="shared" si="72"/>
        <v>6638289.9524115948</v>
      </c>
      <c r="CB60" s="319">
        <f t="shared" si="72"/>
        <v>6638289.9524115948</v>
      </c>
      <c r="CC60" s="319">
        <f t="shared" si="72"/>
        <v>6638289.9524115948</v>
      </c>
      <c r="CD60" s="319">
        <f t="shared" si="72"/>
        <v>6638289.9524115948</v>
      </c>
      <c r="CE60" s="319">
        <f t="shared" si="72"/>
        <v>6638289.9524115948</v>
      </c>
      <c r="CF60" s="319">
        <f t="shared" si="72"/>
        <v>6638289.9524115948</v>
      </c>
      <c r="CG60" s="319">
        <f t="shared" si="72"/>
        <v>6638289.9524115948</v>
      </c>
      <c r="CH60" s="319">
        <f t="shared" si="72"/>
        <v>6638289.9524115948</v>
      </c>
      <c r="CI60" s="319">
        <f t="shared" si="72"/>
        <v>6638289.9524115948</v>
      </c>
      <c r="CJ60" s="319">
        <f t="shared" si="72"/>
        <v>6638289.9524115948</v>
      </c>
      <c r="CK60" s="319">
        <f t="shared" si="72"/>
        <v>6638289.9524115948</v>
      </c>
      <c r="CL60" s="319">
        <f t="shared" si="72"/>
        <v>6638289.9524115948</v>
      </c>
      <c r="CM60" s="359">
        <f t="shared" si="27"/>
        <v>6638289.9524115948</v>
      </c>
      <c r="CN60" s="58"/>
      <c r="CO60" s="58"/>
      <c r="CP60" s="58"/>
      <c r="CQ60" s="58"/>
      <c r="CR60" s="58"/>
      <c r="CS60" s="58"/>
      <c r="CT60" s="58"/>
      <c r="CU60" s="58"/>
      <c r="CV60" s="58"/>
      <c r="CW60" s="58"/>
      <c r="CX60" s="58"/>
      <c r="CY60" s="58"/>
      <c r="CZ60" s="58"/>
      <c r="DA60" s="58"/>
      <c r="DB60" s="58"/>
      <c r="DC60" s="58"/>
      <c r="DD60" s="58"/>
      <c r="DE60" s="58"/>
      <c r="DF60" s="58"/>
      <c r="DG60" s="58"/>
      <c r="DH60" s="58"/>
      <c r="DI60" s="58"/>
      <c r="DJ60" s="58"/>
      <c r="DK60" s="58"/>
      <c r="DL60" s="58"/>
      <c r="DM60" s="58"/>
      <c r="DN60" s="58"/>
      <c r="DO60" s="58"/>
      <c r="DP60" s="58"/>
      <c r="DQ60" s="58"/>
      <c r="DR60" s="58"/>
      <c r="DS60" s="58"/>
      <c r="DT60" s="58"/>
      <c r="DU60" s="58"/>
      <c r="DV60" s="58"/>
      <c r="DW60" s="58"/>
      <c r="DX60" s="58"/>
      <c r="DY60" s="58"/>
      <c r="DZ60" s="58"/>
      <c r="EA60" s="58"/>
      <c r="EB60" s="58"/>
      <c r="EC60" s="58"/>
      <c r="ED60" s="58"/>
      <c r="EE60" s="58"/>
      <c r="EF60" s="58"/>
      <c r="EG60" s="58"/>
      <c r="EH60" s="58"/>
      <c r="EI60" s="58"/>
      <c r="EJ60" s="58"/>
      <c r="EK60" s="58"/>
      <c r="EL60" s="58"/>
      <c r="EM60" s="58"/>
      <c r="EN60" s="58"/>
      <c r="EO60" s="58"/>
      <c r="EP60" s="58"/>
      <c r="EQ60" s="58"/>
      <c r="ER60" s="58"/>
      <c r="ES60" s="58"/>
      <c r="ET60" s="58"/>
      <c r="EU60" s="58"/>
      <c r="EV60" s="58"/>
      <c r="EW60" s="58"/>
      <c r="EX60" s="58"/>
      <c r="EY60" s="58"/>
      <c r="EZ60" s="58"/>
      <c r="FA60" s="58"/>
      <c r="FB60" s="58"/>
      <c r="FC60" s="58"/>
      <c r="FD60" s="58"/>
      <c r="FE60" s="58"/>
      <c r="FF60" s="58"/>
      <c r="FG60" s="58"/>
      <c r="FH60" s="58"/>
      <c r="FI60" s="58"/>
      <c r="FJ60" s="58"/>
      <c r="FK60" s="58"/>
      <c r="FL60" s="58"/>
      <c r="FM60" s="58"/>
      <c r="FN60" s="58"/>
      <c r="FO60" s="58"/>
      <c r="FP60" s="58"/>
      <c r="FQ60" s="58"/>
      <c r="FR60" s="58"/>
      <c r="FS60" s="58"/>
      <c r="FT60" s="58"/>
      <c r="FU60" s="58"/>
      <c r="FV60" s="58"/>
    </row>
    <row r="61" spans="1:178">
      <c r="A61" s="1055"/>
      <c r="B61" s="1055"/>
      <c r="C61" s="1055"/>
      <c r="D61" s="1055"/>
      <c r="E61" s="1056"/>
      <c r="F61" s="363" t="s">
        <v>186</v>
      </c>
      <c r="G61" s="482">
        <f t="shared" si="71"/>
        <v>13038234.966666667</v>
      </c>
      <c r="H61" s="482">
        <f t="shared" si="71"/>
        <v>13038234.966666667</v>
      </c>
      <c r="I61" s="482">
        <f t="shared" si="71"/>
        <v>13038234.966666667</v>
      </c>
      <c r="J61" s="482">
        <f t="shared" si="71"/>
        <v>13038234.966666667</v>
      </c>
      <c r="K61" s="482">
        <f t="shared" si="71"/>
        <v>13038234.966666667</v>
      </c>
      <c r="L61" s="482">
        <f t="shared" si="71"/>
        <v>13038234.966666667</v>
      </c>
      <c r="M61" s="482">
        <f t="shared" si="71"/>
        <v>13038234.966666667</v>
      </c>
      <c r="N61" s="482">
        <f t="shared" si="71"/>
        <v>13038234.966666667</v>
      </c>
      <c r="O61" s="482">
        <f t="shared" si="71"/>
        <v>13038234.966666667</v>
      </c>
      <c r="P61" s="482">
        <f t="shared" si="71"/>
        <v>13038234.966666667</v>
      </c>
      <c r="Q61" s="482">
        <f t="shared" si="71"/>
        <v>13038234.966666667</v>
      </c>
      <c r="R61" s="482">
        <f t="shared" si="71"/>
        <v>13038234.966666667</v>
      </c>
      <c r="S61" s="482">
        <f t="shared" si="71"/>
        <v>13038234.966666667</v>
      </c>
      <c r="T61" s="482">
        <f t="shared" si="71"/>
        <v>13038234.966666667</v>
      </c>
      <c r="U61" s="482">
        <f t="shared" si="71"/>
        <v>13038234.966666667</v>
      </c>
      <c r="V61" s="482">
        <f t="shared" si="71"/>
        <v>13038234.966666667</v>
      </c>
      <c r="W61" s="482">
        <f t="shared" si="71"/>
        <v>13038234.966666667</v>
      </c>
      <c r="X61" s="482">
        <f t="shared" si="71"/>
        <v>13038234.966666667</v>
      </c>
      <c r="Y61" s="482">
        <f t="shared" si="71"/>
        <v>13038234.966666667</v>
      </c>
      <c r="Z61" s="482">
        <f t="shared" si="71"/>
        <v>13038234.966666667</v>
      </c>
      <c r="AA61" s="482">
        <f t="shared" si="71"/>
        <v>13038234.966666667</v>
      </c>
      <c r="AB61" s="482">
        <f t="shared" si="71"/>
        <v>13038234.966666667</v>
      </c>
      <c r="AC61" s="482">
        <f t="shared" si="71"/>
        <v>13038234.966666667</v>
      </c>
      <c r="AD61" s="482">
        <f t="shared" si="71"/>
        <v>13038234.966666667</v>
      </c>
      <c r="AE61" s="482">
        <f t="shared" si="71"/>
        <v>13038234.966666667</v>
      </c>
      <c r="AF61" s="482">
        <f t="shared" si="71"/>
        <v>13038234.966666667</v>
      </c>
      <c r="AG61" s="482">
        <f t="shared" si="71"/>
        <v>13038234.966666667</v>
      </c>
      <c r="AH61" s="482">
        <f t="shared" si="71"/>
        <v>13038234.966666667</v>
      </c>
      <c r="AI61" s="482">
        <f t="shared" si="71"/>
        <v>13038234.966666667</v>
      </c>
      <c r="AJ61" s="482">
        <f t="shared" si="71"/>
        <v>13038234.966666667</v>
      </c>
      <c r="AK61" s="482">
        <f t="shared" si="71"/>
        <v>13038234.966666667</v>
      </c>
      <c r="AL61" s="482">
        <f t="shared" si="71"/>
        <v>13038234.966666667</v>
      </c>
      <c r="AM61" s="482">
        <f t="shared" si="71"/>
        <v>13038234.966666667</v>
      </c>
      <c r="AN61" s="482">
        <f t="shared" si="71"/>
        <v>13038234.966666667</v>
      </c>
      <c r="AO61" s="482">
        <f t="shared" si="71"/>
        <v>13038234.966666667</v>
      </c>
      <c r="AP61" s="482">
        <f t="shared" si="71"/>
        <v>13038234.966666667</v>
      </c>
      <c r="AQ61" s="482">
        <f t="shared" si="71"/>
        <v>13038234.966666667</v>
      </c>
      <c r="AR61" s="482">
        <f t="shared" si="71"/>
        <v>13038234.966666667</v>
      </c>
      <c r="AS61" s="482">
        <f t="shared" si="71"/>
        <v>13038234.966666667</v>
      </c>
      <c r="AT61" s="482">
        <f t="shared" si="71"/>
        <v>13038234.966666667</v>
      </c>
      <c r="AU61" s="319">
        <f t="shared" si="71"/>
        <v>13038234.966666667</v>
      </c>
      <c r="AV61" s="319">
        <f t="shared" si="71"/>
        <v>13038234.966666667</v>
      </c>
      <c r="AW61" s="319">
        <f t="shared" si="71"/>
        <v>13038234.966666667</v>
      </c>
      <c r="AX61" s="319">
        <f t="shared" si="71"/>
        <v>13038234.966666667</v>
      </c>
      <c r="AY61" s="319">
        <f t="shared" si="71"/>
        <v>13038234.966666667</v>
      </c>
      <c r="AZ61" s="319">
        <f t="shared" si="71"/>
        <v>13038234.966666667</v>
      </c>
      <c r="BA61" s="319">
        <f t="shared" si="71"/>
        <v>13038234.966666667</v>
      </c>
      <c r="BB61" s="319">
        <f t="shared" si="71"/>
        <v>13038234.966666667</v>
      </c>
      <c r="BC61" s="319">
        <f t="shared" si="71"/>
        <v>13038234.966666667</v>
      </c>
      <c r="BD61" s="319">
        <f t="shared" si="71"/>
        <v>13038234.966666667</v>
      </c>
      <c r="BE61" s="319">
        <f t="shared" si="71"/>
        <v>13038234.966666667</v>
      </c>
      <c r="BF61" s="319">
        <f t="shared" si="71"/>
        <v>13038234.966666667</v>
      </c>
      <c r="BG61" s="319">
        <f t="shared" si="71"/>
        <v>13038234.966666667</v>
      </c>
      <c r="BH61" s="319">
        <f t="shared" si="71"/>
        <v>13038234.966666667</v>
      </c>
      <c r="BI61" s="319">
        <f t="shared" si="71"/>
        <v>13038234.966666667</v>
      </c>
      <c r="BJ61" s="319">
        <f t="shared" si="71"/>
        <v>13038234.966666667</v>
      </c>
      <c r="BK61" s="319">
        <f t="shared" si="71"/>
        <v>13038234.966666667</v>
      </c>
      <c r="BL61" s="319">
        <f t="shared" si="71"/>
        <v>13038234.966666667</v>
      </c>
      <c r="BM61" s="319">
        <f t="shared" si="71"/>
        <v>13038234.966666667</v>
      </c>
      <c r="BN61" s="319">
        <f t="shared" si="71"/>
        <v>13038234.966666667</v>
      </c>
      <c r="BO61" s="319">
        <f t="shared" si="71"/>
        <v>13038234.966666667</v>
      </c>
      <c r="BP61" s="319">
        <f t="shared" si="71"/>
        <v>13038234.966666667</v>
      </c>
      <c r="BQ61" s="319">
        <f t="shared" si="71"/>
        <v>13038234.966666667</v>
      </c>
      <c r="BR61" s="319">
        <f t="shared" si="71"/>
        <v>13038234.966666667</v>
      </c>
      <c r="BS61" s="319">
        <f t="shared" si="72"/>
        <v>13038234.966666667</v>
      </c>
      <c r="BT61" s="319">
        <f t="shared" si="72"/>
        <v>13038234.966666667</v>
      </c>
      <c r="BU61" s="319">
        <f t="shared" si="72"/>
        <v>13038234.966666667</v>
      </c>
      <c r="BV61" s="319">
        <f t="shared" si="72"/>
        <v>13038234.966666667</v>
      </c>
      <c r="BW61" s="319">
        <f t="shared" si="72"/>
        <v>13038234.966666667</v>
      </c>
      <c r="BX61" s="319">
        <f t="shared" si="72"/>
        <v>13038234.966666667</v>
      </c>
      <c r="BY61" s="319">
        <f t="shared" si="72"/>
        <v>13038234.966666667</v>
      </c>
      <c r="BZ61" s="319">
        <f t="shared" si="72"/>
        <v>13038234.966666667</v>
      </c>
      <c r="CA61" s="319">
        <f t="shared" si="72"/>
        <v>13038234.966666667</v>
      </c>
      <c r="CB61" s="319">
        <f t="shared" si="72"/>
        <v>13038234.966666667</v>
      </c>
      <c r="CC61" s="319">
        <f t="shared" si="72"/>
        <v>13038234.966666667</v>
      </c>
      <c r="CD61" s="319">
        <f t="shared" si="72"/>
        <v>13038234.966666667</v>
      </c>
      <c r="CE61" s="319">
        <f t="shared" si="72"/>
        <v>13038234.966666667</v>
      </c>
      <c r="CF61" s="319">
        <f t="shared" si="72"/>
        <v>13038234.966666667</v>
      </c>
      <c r="CG61" s="319">
        <f t="shared" si="72"/>
        <v>13038234.966666667</v>
      </c>
      <c r="CH61" s="319">
        <f t="shared" si="72"/>
        <v>13038234.966666667</v>
      </c>
      <c r="CI61" s="319">
        <f t="shared" si="72"/>
        <v>13038234.966666667</v>
      </c>
      <c r="CJ61" s="319">
        <f t="shared" si="72"/>
        <v>13038234.966666667</v>
      </c>
      <c r="CK61" s="319">
        <f t="shared" si="72"/>
        <v>13038234.966666667</v>
      </c>
      <c r="CL61" s="319">
        <f t="shared" si="72"/>
        <v>13038234.966666667</v>
      </c>
      <c r="CM61" s="319">
        <f t="shared" si="27"/>
        <v>13038234.966666676</v>
      </c>
      <c r="CN61" s="58"/>
      <c r="CO61" s="58"/>
      <c r="CP61" s="58"/>
      <c r="CQ61" s="58"/>
      <c r="CR61" s="58"/>
      <c r="CS61" s="58"/>
      <c r="CT61" s="58"/>
      <c r="CU61" s="58"/>
      <c r="CV61" s="58"/>
      <c r="CW61" s="58"/>
      <c r="CX61" s="58"/>
      <c r="CY61" s="58"/>
      <c r="CZ61" s="58"/>
      <c r="DA61" s="58"/>
      <c r="DB61" s="58"/>
      <c r="DC61" s="58"/>
      <c r="DD61" s="58"/>
      <c r="DE61" s="58"/>
      <c r="DF61" s="58"/>
      <c r="DG61" s="58"/>
      <c r="DH61" s="58"/>
      <c r="DI61" s="58"/>
      <c r="DJ61" s="58"/>
      <c r="DK61" s="58"/>
      <c r="DL61" s="58"/>
      <c r="DM61" s="58"/>
      <c r="DN61" s="58"/>
      <c r="DO61" s="58"/>
      <c r="DP61" s="58"/>
      <c r="DQ61" s="58"/>
      <c r="DR61" s="58"/>
      <c r="DS61" s="58"/>
      <c r="DT61" s="58"/>
      <c r="DU61" s="58"/>
      <c r="DV61" s="58"/>
      <c r="DW61" s="58"/>
      <c r="DX61" s="58"/>
      <c r="DY61" s="58"/>
      <c r="DZ61" s="58"/>
      <c r="EA61" s="58"/>
      <c r="EB61" s="58"/>
      <c r="EC61" s="58"/>
      <c r="ED61" s="58"/>
      <c r="EE61" s="58"/>
      <c r="EF61" s="58"/>
      <c r="EG61" s="58"/>
      <c r="EH61" s="58"/>
      <c r="EI61" s="58"/>
      <c r="EJ61" s="58"/>
      <c r="EK61" s="58"/>
      <c r="EL61" s="58"/>
      <c r="EM61" s="58"/>
      <c r="EN61" s="58"/>
      <c r="EO61" s="58"/>
      <c r="EP61" s="58"/>
      <c r="EQ61" s="58"/>
      <c r="ER61" s="58"/>
      <c r="ES61" s="58"/>
      <c r="ET61" s="58"/>
      <c r="EU61" s="58"/>
      <c r="EV61" s="58"/>
      <c r="EW61" s="58"/>
      <c r="EX61" s="58"/>
      <c r="EY61" s="58"/>
      <c r="EZ61" s="58"/>
      <c r="FA61" s="58"/>
      <c r="FB61" s="58"/>
      <c r="FC61" s="58"/>
      <c r="FD61" s="58"/>
      <c r="FE61" s="58"/>
      <c r="FF61" s="58"/>
      <c r="FG61" s="58"/>
      <c r="FH61" s="58"/>
      <c r="FI61" s="58"/>
      <c r="FJ61" s="58"/>
      <c r="FK61" s="58"/>
      <c r="FL61" s="58"/>
      <c r="FM61" s="58"/>
      <c r="FN61" s="58"/>
      <c r="FO61" s="58"/>
      <c r="FP61" s="58"/>
      <c r="FQ61" s="58"/>
      <c r="FR61" s="58"/>
      <c r="FS61" s="58"/>
      <c r="FT61" s="58"/>
      <c r="FU61" s="58"/>
      <c r="FV61" s="58"/>
    </row>
    <row r="62" spans="1:178">
      <c r="A62" s="1055"/>
      <c r="B62" s="1055"/>
      <c r="C62" s="1055"/>
      <c r="D62" s="1055"/>
      <c r="E62" s="1056"/>
      <c r="F62" s="486" t="s">
        <v>187</v>
      </c>
      <c r="G62" s="482">
        <f t="shared" ref="G62:BR62" si="73">G41</f>
        <v>596656258.48307002</v>
      </c>
      <c r="H62" s="482">
        <f t="shared" si="73"/>
        <v>596656258.48307002</v>
      </c>
      <c r="I62" s="482">
        <f t="shared" si="73"/>
        <v>596656258.48307002</v>
      </c>
      <c r="J62" s="482">
        <f t="shared" si="73"/>
        <v>596658180.75027001</v>
      </c>
      <c r="K62" s="482">
        <f t="shared" si="73"/>
        <v>597103849.24693668</v>
      </c>
      <c r="L62" s="482">
        <f t="shared" si="73"/>
        <v>597104490.00267005</v>
      </c>
      <c r="M62" s="482">
        <f t="shared" si="73"/>
        <v>597104490.00267005</v>
      </c>
      <c r="N62" s="482">
        <f t="shared" si="73"/>
        <v>598356231.16795301</v>
      </c>
      <c r="O62" s="482">
        <f t="shared" si="73"/>
        <v>597105130.75840342</v>
      </c>
      <c r="P62" s="482">
        <f t="shared" si="73"/>
        <v>598358634.00195301</v>
      </c>
      <c r="Q62" s="482">
        <f t="shared" si="73"/>
        <v>599609734.41150451</v>
      </c>
      <c r="R62" s="482">
        <f t="shared" si="73"/>
        <v>600860834.82105601</v>
      </c>
      <c r="S62" s="482">
        <f t="shared" si="73"/>
        <v>602112575.98633885</v>
      </c>
      <c r="T62" s="482">
        <f t="shared" si="73"/>
        <v>603365834.54621768</v>
      </c>
      <c r="U62" s="482">
        <f t="shared" si="73"/>
        <v>604617167.45126557</v>
      </c>
      <c r="V62" s="482">
        <f t="shared" si="73"/>
        <v>605970999.53958595</v>
      </c>
      <c r="W62" s="482">
        <f t="shared" si="73"/>
        <v>607184960.28433883</v>
      </c>
      <c r="X62" s="482">
        <f t="shared" si="73"/>
        <v>608398921.02909005</v>
      </c>
      <c r="Y62" s="482">
        <f t="shared" si="73"/>
        <v>609612881.77384305</v>
      </c>
      <c r="Z62" s="482">
        <f t="shared" si="73"/>
        <v>610826842.51859605</v>
      </c>
      <c r="AA62" s="482">
        <f t="shared" si="73"/>
        <v>612040803.26334727</v>
      </c>
      <c r="AB62" s="482">
        <f t="shared" si="73"/>
        <v>613254764.00810027</v>
      </c>
      <c r="AC62" s="482">
        <f t="shared" si="73"/>
        <v>614468724.75285327</v>
      </c>
      <c r="AD62" s="482">
        <f t="shared" si="73"/>
        <v>615682685.49760449</v>
      </c>
      <c r="AE62" s="482">
        <f t="shared" si="73"/>
        <v>616898338.19890332</v>
      </c>
      <c r="AF62" s="482">
        <f t="shared" si="73"/>
        <v>618110606.98710859</v>
      </c>
      <c r="AG62" s="482">
        <f t="shared" si="73"/>
        <v>619324993.75274801</v>
      </c>
      <c r="AH62" s="482">
        <f t="shared" si="73"/>
        <v>620538528.47661471</v>
      </c>
      <c r="AI62" s="482">
        <f t="shared" si="73"/>
        <v>621752489.22136581</v>
      </c>
      <c r="AJ62" s="482">
        <f t="shared" si="73"/>
        <v>622966449.96611881</v>
      </c>
      <c r="AK62" s="482">
        <f t="shared" si="73"/>
        <v>624180410.71087182</v>
      </c>
      <c r="AL62" s="482">
        <f t="shared" si="73"/>
        <v>625394371.45562291</v>
      </c>
      <c r="AM62" s="482">
        <f t="shared" si="73"/>
        <v>626608332.20037591</v>
      </c>
      <c r="AN62" s="482">
        <f t="shared" si="73"/>
        <v>627822292.94512713</v>
      </c>
      <c r="AO62" s="482">
        <f t="shared" si="73"/>
        <v>629036253.68988013</v>
      </c>
      <c r="AP62" s="482">
        <f t="shared" si="73"/>
        <v>630250214.43463314</v>
      </c>
      <c r="AQ62" s="482">
        <f t="shared" si="73"/>
        <v>631464175.17938435</v>
      </c>
      <c r="AR62" s="482">
        <f t="shared" si="73"/>
        <v>632678135.92413735</v>
      </c>
      <c r="AS62" s="482">
        <f t="shared" si="73"/>
        <v>633892096.66889036</v>
      </c>
      <c r="AT62" s="482">
        <f t="shared" si="73"/>
        <v>496551939.23666668</v>
      </c>
      <c r="AU62" s="319">
        <f t="shared" si="73"/>
        <v>604882051.02700007</v>
      </c>
      <c r="AV62" s="319">
        <f t="shared" si="73"/>
        <v>608097170.28598917</v>
      </c>
      <c r="AW62" s="319">
        <f t="shared" si="73"/>
        <v>587485736.12551749</v>
      </c>
      <c r="AX62" s="319">
        <f t="shared" si="73"/>
        <v>638052680.82726669</v>
      </c>
      <c r="AY62" s="319">
        <f t="shared" si="73"/>
        <v>691431417.57635081</v>
      </c>
      <c r="AZ62" s="319">
        <f t="shared" si="73"/>
        <v>706762765.7755214</v>
      </c>
      <c r="BA62" s="319">
        <f t="shared" si="73"/>
        <v>716527118.24002469</v>
      </c>
      <c r="BB62" s="319">
        <f t="shared" si="73"/>
        <v>705631981.07398736</v>
      </c>
      <c r="BC62" s="319">
        <f t="shared" si="73"/>
        <v>755808823.44955599</v>
      </c>
      <c r="BD62" s="319">
        <f t="shared" si="73"/>
        <v>715504399.1485126</v>
      </c>
      <c r="BE62" s="319">
        <f t="shared" si="73"/>
        <v>673765363.35763848</v>
      </c>
      <c r="BF62" s="319">
        <f t="shared" si="73"/>
        <v>666703442.28401363</v>
      </c>
      <c r="BG62" s="319">
        <f t="shared" si="73"/>
        <v>719040729.77666736</v>
      </c>
      <c r="BH62" s="319">
        <f t="shared" si="73"/>
        <v>646861327.37493384</v>
      </c>
      <c r="BI62" s="319">
        <f t="shared" si="73"/>
        <v>577517344.43789601</v>
      </c>
      <c r="BJ62" s="319">
        <f t="shared" si="73"/>
        <v>565390410.12479997</v>
      </c>
      <c r="BK62" s="319">
        <f t="shared" si="73"/>
        <v>597609095.86546659</v>
      </c>
      <c r="BL62" s="319">
        <f t="shared" si="73"/>
        <v>645645008.51446664</v>
      </c>
      <c r="BM62" s="319">
        <f t="shared" si="73"/>
        <v>596333534.27346671</v>
      </c>
      <c r="BN62" s="319">
        <f t="shared" si="73"/>
        <v>579247851.29653323</v>
      </c>
      <c r="BO62" s="319">
        <f t="shared" si="73"/>
        <v>681599895.16793323</v>
      </c>
      <c r="BP62" s="319">
        <f t="shared" si="73"/>
        <v>670370868.34053338</v>
      </c>
      <c r="BQ62" s="319">
        <f t="shared" si="73"/>
        <v>732009167.05319989</v>
      </c>
      <c r="BR62" s="319">
        <f t="shared" si="73"/>
        <v>634288631.48506665</v>
      </c>
      <c r="BS62" s="319">
        <f t="shared" ref="BS62:CL62" si="74">BS41</f>
        <v>610125984.50653338</v>
      </c>
      <c r="BT62" s="319">
        <f t="shared" si="74"/>
        <v>453097327.10240006</v>
      </c>
      <c r="BU62" s="319">
        <f t="shared" si="74"/>
        <v>544447263.21253335</v>
      </c>
      <c r="BV62" s="319">
        <f t="shared" si="74"/>
        <v>522098916.09293342</v>
      </c>
      <c r="BW62" s="319">
        <f t="shared" si="74"/>
        <v>395262050.97186667</v>
      </c>
      <c r="BX62" s="319">
        <f t="shared" si="74"/>
        <v>380175571.6512</v>
      </c>
      <c r="BY62" s="319">
        <f t="shared" si="74"/>
        <v>433936282.07346666</v>
      </c>
      <c r="BZ62" s="319">
        <f t="shared" si="74"/>
        <v>498987508.98940003</v>
      </c>
      <c r="CA62" s="319">
        <f t="shared" si="74"/>
        <v>521025798.98646665</v>
      </c>
      <c r="CB62" s="319">
        <f t="shared" si="74"/>
        <v>568085897.86393332</v>
      </c>
      <c r="CC62" s="319">
        <f t="shared" si="74"/>
        <v>609281445.56586671</v>
      </c>
      <c r="CD62" s="319">
        <f t="shared" si="74"/>
        <v>691496767.94159997</v>
      </c>
      <c r="CE62" s="319">
        <f t="shared" si="74"/>
        <v>802986057.22273326</v>
      </c>
      <c r="CF62" s="319">
        <f t="shared" si="74"/>
        <v>718990040.33786666</v>
      </c>
      <c r="CG62" s="319">
        <f t="shared" si="74"/>
        <v>611873073.66586661</v>
      </c>
      <c r="CH62" s="319">
        <f t="shared" si="74"/>
        <v>606309380.19126666</v>
      </c>
      <c r="CI62" s="319">
        <f t="shared" si="74"/>
        <v>655835107.13059986</v>
      </c>
      <c r="CJ62" s="319">
        <f t="shared" si="74"/>
        <v>731702199.28866673</v>
      </c>
      <c r="CK62" s="319">
        <f t="shared" si="74"/>
        <v>834454475.20999992</v>
      </c>
      <c r="CL62" s="319">
        <f t="shared" si="74"/>
        <v>896056456.80306661</v>
      </c>
      <c r="CM62" s="319">
        <f t="shared" si="27"/>
        <v>620952756.64289117</v>
      </c>
      <c r="CN62" s="58"/>
      <c r="CO62" s="58"/>
      <c r="CP62" s="58"/>
      <c r="CQ62" s="58"/>
      <c r="CR62" s="58"/>
      <c r="CS62" s="58"/>
      <c r="CT62" s="58"/>
      <c r="CU62" s="58"/>
      <c r="CV62" s="58"/>
      <c r="CW62" s="58"/>
      <c r="CX62" s="58"/>
      <c r="CY62" s="58"/>
      <c r="CZ62" s="58"/>
      <c r="DA62" s="58"/>
      <c r="DB62" s="58"/>
      <c r="DC62" s="58"/>
      <c r="DD62" s="58"/>
      <c r="DE62" s="58"/>
      <c r="DF62" s="58"/>
      <c r="DG62" s="58"/>
      <c r="DH62" s="58"/>
      <c r="DI62" s="58"/>
      <c r="DJ62" s="58"/>
      <c r="DK62" s="58"/>
      <c r="DL62" s="58"/>
      <c r="DM62" s="58"/>
      <c r="DN62" s="58"/>
      <c r="DO62" s="58"/>
      <c r="DP62" s="58"/>
      <c r="DQ62" s="58"/>
      <c r="DR62" s="58"/>
      <c r="DS62" s="58"/>
      <c r="DT62" s="58"/>
      <c r="DU62" s="58"/>
      <c r="DV62" s="58"/>
      <c r="DW62" s="58"/>
      <c r="DX62" s="58"/>
      <c r="DY62" s="58"/>
      <c r="DZ62" s="58"/>
      <c r="EA62" s="58"/>
      <c r="EB62" s="58"/>
      <c r="EC62" s="58"/>
      <c r="ED62" s="58"/>
      <c r="EE62" s="58"/>
      <c r="EF62" s="58"/>
      <c r="EG62" s="58"/>
      <c r="EH62" s="58"/>
      <c r="EI62" s="58"/>
      <c r="EJ62" s="58"/>
      <c r="EK62" s="58"/>
      <c r="EL62" s="58"/>
      <c r="EM62" s="58"/>
      <c r="EN62" s="58"/>
      <c r="EO62" s="58"/>
      <c r="EP62" s="58"/>
      <c r="EQ62" s="58"/>
      <c r="ER62" s="58"/>
      <c r="ES62" s="58"/>
      <c r="ET62" s="58"/>
      <c r="EU62" s="58"/>
      <c r="EV62" s="58"/>
      <c r="EW62" s="58"/>
      <c r="EX62" s="58"/>
      <c r="EY62" s="58"/>
      <c r="EZ62" s="58"/>
      <c r="FA62" s="58"/>
      <c r="FB62" s="58"/>
      <c r="FC62" s="58"/>
      <c r="FD62" s="58"/>
      <c r="FE62" s="58"/>
      <c r="FF62" s="58"/>
      <c r="FG62" s="58"/>
      <c r="FH62" s="58"/>
      <c r="FI62" s="58"/>
      <c r="FJ62" s="58"/>
      <c r="FK62" s="58"/>
      <c r="FL62" s="58"/>
      <c r="FM62" s="58"/>
      <c r="FN62" s="58"/>
      <c r="FO62" s="58"/>
      <c r="FP62" s="58"/>
      <c r="FQ62" s="58"/>
      <c r="FR62" s="58"/>
      <c r="FS62" s="58"/>
      <c r="FT62" s="58"/>
      <c r="FU62" s="58"/>
      <c r="FV62" s="58"/>
    </row>
    <row r="63" spans="1:178">
      <c r="A63" s="1055"/>
      <c r="B63" s="1055"/>
      <c r="C63" s="1055"/>
      <c r="D63" s="1055"/>
      <c r="E63" s="1056"/>
      <c r="F63" s="363" t="s">
        <v>188</v>
      </c>
      <c r="G63" s="482">
        <f t="shared" ref="G63:BR63" si="75">G45</f>
        <v>358251107.33333331</v>
      </c>
      <c r="H63" s="482">
        <f t="shared" si="75"/>
        <v>358251107.33333331</v>
      </c>
      <c r="I63" s="482">
        <f t="shared" si="75"/>
        <v>358251107.33333331</v>
      </c>
      <c r="J63" s="482">
        <f t="shared" si="75"/>
        <v>358251107.33333331</v>
      </c>
      <c r="K63" s="482">
        <f t="shared" si="75"/>
        <v>358251107.33333331</v>
      </c>
      <c r="L63" s="482">
        <f t="shared" si="75"/>
        <v>358251107.33333331</v>
      </c>
      <c r="M63" s="482">
        <f t="shared" si="75"/>
        <v>358251107.33333331</v>
      </c>
      <c r="N63" s="482">
        <f t="shared" si="75"/>
        <v>358251107.33333331</v>
      </c>
      <c r="O63" s="482">
        <f t="shared" si="75"/>
        <v>358251107.33333331</v>
      </c>
      <c r="P63" s="482">
        <f t="shared" si="75"/>
        <v>358251107.33333331</v>
      </c>
      <c r="Q63" s="482">
        <f t="shared" si="75"/>
        <v>358251107.33333331</v>
      </c>
      <c r="R63" s="482">
        <f t="shared" si="75"/>
        <v>358251107.33333331</v>
      </c>
      <c r="S63" s="482">
        <f t="shared" si="75"/>
        <v>358251107.33333331</v>
      </c>
      <c r="T63" s="482">
        <f t="shared" si="75"/>
        <v>358251107.33333331</v>
      </c>
      <c r="U63" s="482">
        <f t="shared" si="75"/>
        <v>358251107.33333331</v>
      </c>
      <c r="V63" s="482">
        <f t="shared" si="75"/>
        <v>358251107.33333331</v>
      </c>
      <c r="W63" s="482">
        <f t="shared" si="75"/>
        <v>358251107.33333331</v>
      </c>
      <c r="X63" s="482">
        <f t="shared" si="75"/>
        <v>358251107.33333331</v>
      </c>
      <c r="Y63" s="482">
        <f t="shared" si="75"/>
        <v>358251107.33333331</v>
      </c>
      <c r="Z63" s="482">
        <f t="shared" si="75"/>
        <v>358251107.33333331</v>
      </c>
      <c r="AA63" s="482">
        <f t="shared" si="75"/>
        <v>358251107.33333331</v>
      </c>
      <c r="AB63" s="482">
        <f t="shared" si="75"/>
        <v>358251107.33333331</v>
      </c>
      <c r="AC63" s="482">
        <f t="shared" si="75"/>
        <v>358251107.33333331</v>
      </c>
      <c r="AD63" s="482">
        <f t="shared" si="75"/>
        <v>358251107.33333331</v>
      </c>
      <c r="AE63" s="482">
        <f t="shared" si="75"/>
        <v>358251107.33333331</v>
      </c>
      <c r="AF63" s="482">
        <f t="shared" si="75"/>
        <v>358251107.33333331</v>
      </c>
      <c r="AG63" s="482">
        <f t="shared" si="75"/>
        <v>358251107.33333331</v>
      </c>
      <c r="AH63" s="482">
        <f t="shared" si="75"/>
        <v>358251107.33333331</v>
      </c>
      <c r="AI63" s="482">
        <f t="shared" si="75"/>
        <v>358251107.33333331</v>
      </c>
      <c r="AJ63" s="482">
        <f t="shared" si="75"/>
        <v>358251107.33333331</v>
      </c>
      <c r="AK63" s="482">
        <f t="shared" si="75"/>
        <v>358251107.33333331</v>
      </c>
      <c r="AL63" s="482">
        <f t="shared" si="75"/>
        <v>358251107.33333331</v>
      </c>
      <c r="AM63" s="482">
        <f t="shared" si="75"/>
        <v>358251107.33333331</v>
      </c>
      <c r="AN63" s="482">
        <f t="shared" si="75"/>
        <v>358251107.33333331</v>
      </c>
      <c r="AO63" s="482">
        <f t="shared" si="75"/>
        <v>358251107.33333331</v>
      </c>
      <c r="AP63" s="482">
        <f t="shared" si="75"/>
        <v>358251107.33333331</v>
      </c>
      <c r="AQ63" s="482">
        <f t="shared" si="75"/>
        <v>358251107.33333331</v>
      </c>
      <c r="AR63" s="482">
        <f t="shared" si="75"/>
        <v>358251107.33333331</v>
      </c>
      <c r="AS63" s="482">
        <f t="shared" si="75"/>
        <v>358251107.33333331</v>
      </c>
      <c r="AT63" s="482">
        <f t="shared" si="75"/>
        <v>358251107.33333331</v>
      </c>
      <c r="AU63" s="319">
        <f t="shared" si="75"/>
        <v>358251107.33333331</v>
      </c>
      <c r="AV63" s="319">
        <f t="shared" si="75"/>
        <v>358251107.33333331</v>
      </c>
      <c r="AW63" s="319">
        <f t="shared" si="75"/>
        <v>358251107.33333331</v>
      </c>
      <c r="AX63" s="319">
        <f t="shared" si="75"/>
        <v>358251107.33333331</v>
      </c>
      <c r="AY63" s="319">
        <f t="shared" si="75"/>
        <v>358251107.33333331</v>
      </c>
      <c r="AZ63" s="319">
        <f t="shared" si="75"/>
        <v>358251107.33333331</v>
      </c>
      <c r="BA63" s="319">
        <f t="shared" si="75"/>
        <v>358251107.33333331</v>
      </c>
      <c r="BB63" s="319">
        <f t="shared" si="75"/>
        <v>358251107.33333331</v>
      </c>
      <c r="BC63" s="319">
        <f t="shared" si="75"/>
        <v>358251107.33333331</v>
      </c>
      <c r="BD63" s="319">
        <f t="shared" si="75"/>
        <v>358251107.33333331</v>
      </c>
      <c r="BE63" s="319">
        <f t="shared" si="75"/>
        <v>358251107.33333331</v>
      </c>
      <c r="BF63" s="319">
        <f t="shared" si="75"/>
        <v>358251107.33333331</v>
      </c>
      <c r="BG63" s="319">
        <f t="shared" si="75"/>
        <v>358251107.33333331</v>
      </c>
      <c r="BH63" s="319">
        <f t="shared" si="75"/>
        <v>358251107.33333331</v>
      </c>
      <c r="BI63" s="319">
        <f t="shared" si="75"/>
        <v>358251107.33333331</v>
      </c>
      <c r="BJ63" s="319">
        <f t="shared" si="75"/>
        <v>358251107.33333331</v>
      </c>
      <c r="BK63" s="319">
        <f t="shared" si="75"/>
        <v>358251107.33333331</v>
      </c>
      <c r="BL63" s="319">
        <f t="shared" si="75"/>
        <v>358251107.33333331</v>
      </c>
      <c r="BM63" s="319">
        <f t="shared" si="75"/>
        <v>358251107.33333331</v>
      </c>
      <c r="BN63" s="319">
        <f t="shared" si="75"/>
        <v>358251107.33333331</v>
      </c>
      <c r="BO63" s="319">
        <f t="shared" si="75"/>
        <v>358251107.33333331</v>
      </c>
      <c r="BP63" s="319">
        <f t="shared" si="75"/>
        <v>358251107.33333331</v>
      </c>
      <c r="BQ63" s="319">
        <f t="shared" si="75"/>
        <v>358251107.33333331</v>
      </c>
      <c r="BR63" s="319">
        <f t="shared" si="75"/>
        <v>358251107.33333331</v>
      </c>
      <c r="BS63" s="319">
        <f t="shared" ref="BS63:CL63" si="76">BS45</f>
        <v>358251107.33333331</v>
      </c>
      <c r="BT63" s="319">
        <f t="shared" si="76"/>
        <v>358251107.33333331</v>
      </c>
      <c r="BU63" s="319">
        <f t="shared" si="76"/>
        <v>358251107.33333331</v>
      </c>
      <c r="BV63" s="319">
        <f t="shared" si="76"/>
        <v>358251107.33333331</v>
      </c>
      <c r="BW63" s="319">
        <f t="shared" si="76"/>
        <v>358251107.33333331</v>
      </c>
      <c r="BX63" s="319">
        <f t="shared" si="76"/>
        <v>358251107.33333331</v>
      </c>
      <c r="BY63" s="319">
        <f t="shared" si="76"/>
        <v>358251107.33333331</v>
      </c>
      <c r="BZ63" s="319">
        <f t="shared" si="76"/>
        <v>358251107.33333331</v>
      </c>
      <c r="CA63" s="319">
        <f t="shared" si="76"/>
        <v>358251107.33333331</v>
      </c>
      <c r="CB63" s="319">
        <f t="shared" si="76"/>
        <v>358251107.33333331</v>
      </c>
      <c r="CC63" s="319">
        <f t="shared" si="76"/>
        <v>358251107.33333331</v>
      </c>
      <c r="CD63" s="319">
        <f t="shared" si="76"/>
        <v>358251107.33333331</v>
      </c>
      <c r="CE63" s="319">
        <f t="shared" si="76"/>
        <v>358251107.33333331</v>
      </c>
      <c r="CF63" s="319">
        <f t="shared" si="76"/>
        <v>358251107.33333331</v>
      </c>
      <c r="CG63" s="319">
        <f t="shared" si="76"/>
        <v>358251107.33333331</v>
      </c>
      <c r="CH63" s="319">
        <f t="shared" si="76"/>
        <v>358251107.33333331</v>
      </c>
      <c r="CI63" s="319">
        <f t="shared" si="76"/>
        <v>358251107.33333331</v>
      </c>
      <c r="CJ63" s="319">
        <f t="shared" si="76"/>
        <v>358251107.33333331</v>
      </c>
      <c r="CK63" s="319">
        <f t="shared" si="76"/>
        <v>358251107.33333331</v>
      </c>
      <c r="CL63" s="319">
        <f t="shared" si="76"/>
        <v>358251107.33333331</v>
      </c>
      <c r="CM63" s="319">
        <f t="shared" si="27"/>
        <v>358251107.3333329</v>
      </c>
      <c r="CN63" s="58"/>
      <c r="CO63" s="58"/>
      <c r="CP63" s="58"/>
      <c r="CQ63" s="58"/>
      <c r="CR63" s="58"/>
      <c r="CS63" s="58"/>
      <c r="CT63" s="58"/>
      <c r="CU63" s="58"/>
      <c r="CV63" s="58"/>
      <c r="CW63" s="58"/>
      <c r="CX63" s="58"/>
      <c r="CY63" s="58"/>
      <c r="CZ63" s="58"/>
      <c r="DA63" s="58"/>
      <c r="DB63" s="58"/>
      <c r="DC63" s="58"/>
      <c r="DD63" s="58"/>
      <c r="DE63" s="58"/>
      <c r="DF63" s="58"/>
      <c r="DG63" s="58"/>
      <c r="DH63" s="58"/>
      <c r="DI63" s="58"/>
      <c r="DJ63" s="58"/>
      <c r="DK63" s="58"/>
      <c r="DL63" s="58"/>
      <c r="DM63" s="58"/>
      <c r="DN63" s="58"/>
      <c r="DO63" s="58"/>
      <c r="DP63" s="58"/>
      <c r="DQ63" s="58"/>
      <c r="DR63" s="58"/>
      <c r="DS63" s="58"/>
      <c r="DT63" s="58"/>
      <c r="DU63" s="58"/>
      <c r="DV63" s="58"/>
      <c r="DW63" s="58"/>
      <c r="DX63" s="58"/>
      <c r="DY63" s="58"/>
      <c r="DZ63" s="58"/>
      <c r="EA63" s="58"/>
      <c r="EB63" s="58"/>
      <c r="EC63" s="58"/>
      <c r="ED63" s="58"/>
      <c r="EE63" s="58"/>
      <c r="EF63" s="58"/>
      <c r="EG63" s="58"/>
      <c r="EH63" s="58"/>
      <c r="EI63" s="58"/>
      <c r="EJ63" s="58"/>
      <c r="EK63" s="58"/>
      <c r="EL63" s="58"/>
      <c r="EM63" s="58"/>
      <c r="EN63" s="58"/>
      <c r="EO63" s="58"/>
      <c r="EP63" s="58"/>
      <c r="EQ63" s="58"/>
      <c r="ER63" s="58"/>
      <c r="ES63" s="58"/>
      <c r="ET63" s="58"/>
      <c r="EU63" s="58"/>
      <c r="EV63" s="58"/>
      <c r="EW63" s="58"/>
      <c r="EX63" s="58"/>
      <c r="EY63" s="58"/>
      <c r="EZ63" s="58"/>
      <c r="FA63" s="58"/>
      <c r="FB63" s="58"/>
      <c r="FC63" s="58"/>
      <c r="FD63" s="58"/>
      <c r="FE63" s="58"/>
      <c r="FF63" s="58"/>
      <c r="FG63" s="58"/>
      <c r="FH63" s="58"/>
      <c r="FI63" s="58"/>
      <c r="FJ63" s="58"/>
      <c r="FK63" s="58"/>
      <c r="FL63" s="58"/>
      <c r="FM63" s="58"/>
      <c r="FN63" s="58"/>
      <c r="FO63" s="58"/>
      <c r="FP63" s="58"/>
      <c r="FQ63" s="58"/>
      <c r="FR63" s="58"/>
      <c r="FS63" s="58"/>
      <c r="FT63" s="58"/>
      <c r="FU63" s="58"/>
      <c r="FV63" s="58"/>
    </row>
    <row r="64" spans="1:178">
      <c r="A64" s="1055"/>
      <c r="B64" s="1055"/>
      <c r="C64" s="1055"/>
      <c r="D64" s="1055"/>
      <c r="E64" s="1056"/>
      <c r="F64" s="363" t="s">
        <v>189</v>
      </c>
      <c r="G64" s="482">
        <f t="shared" ref="G64:BR64" si="77">G44</f>
        <v>906669362.66666663</v>
      </c>
      <c r="H64" s="482">
        <f t="shared" si="77"/>
        <v>906669362.66666663</v>
      </c>
      <c r="I64" s="482">
        <f t="shared" si="77"/>
        <v>906669362.66666663</v>
      </c>
      <c r="J64" s="482">
        <f t="shared" si="77"/>
        <v>906669362.66666663</v>
      </c>
      <c r="K64" s="482">
        <f t="shared" si="77"/>
        <v>906669362.66666663</v>
      </c>
      <c r="L64" s="482">
        <f t="shared" si="77"/>
        <v>906669362.66666663</v>
      </c>
      <c r="M64" s="482">
        <f t="shared" si="77"/>
        <v>906669362.66666663</v>
      </c>
      <c r="N64" s="482">
        <f t="shared" si="77"/>
        <v>906669362.66666663</v>
      </c>
      <c r="O64" s="482">
        <f t="shared" si="77"/>
        <v>906669362.66666663</v>
      </c>
      <c r="P64" s="482">
        <f t="shared" si="77"/>
        <v>906669362.66666663</v>
      </c>
      <c r="Q64" s="482">
        <f t="shared" si="77"/>
        <v>906669362.66666663</v>
      </c>
      <c r="R64" s="482">
        <f t="shared" si="77"/>
        <v>906669362.66666663</v>
      </c>
      <c r="S64" s="482">
        <f t="shared" si="77"/>
        <v>906669362.66666663</v>
      </c>
      <c r="T64" s="482">
        <f t="shared" si="77"/>
        <v>906669362.66666663</v>
      </c>
      <c r="U64" s="482">
        <f t="shared" si="77"/>
        <v>906669362.66666663</v>
      </c>
      <c r="V64" s="482">
        <f t="shared" si="77"/>
        <v>906669362.66666663</v>
      </c>
      <c r="W64" s="482">
        <f t="shared" si="77"/>
        <v>906669362.66666663</v>
      </c>
      <c r="X64" s="482">
        <f t="shared" si="77"/>
        <v>906669362.66666663</v>
      </c>
      <c r="Y64" s="482">
        <f t="shared" si="77"/>
        <v>906669362.66666663</v>
      </c>
      <c r="Z64" s="482">
        <f t="shared" si="77"/>
        <v>906669362.66666663</v>
      </c>
      <c r="AA64" s="482">
        <f t="shared" si="77"/>
        <v>906669362.66666663</v>
      </c>
      <c r="AB64" s="482">
        <f t="shared" si="77"/>
        <v>906669362.66666663</v>
      </c>
      <c r="AC64" s="482">
        <f t="shared" si="77"/>
        <v>906669362.66666663</v>
      </c>
      <c r="AD64" s="482">
        <f t="shared" si="77"/>
        <v>906669362.66666663</v>
      </c>
      <c r="AE64" s="482">
        <f t="shared" si="77"/>
        <v>906669362.66666663</v>
      </c>
      <c r="AF64" s="482">
        <f t="shared" si="77"/>
        <v>906669362.66666663</v>
      </c>
      <c r="AG64" s="482">
        <f t="shared" si="77"/>
        <v>906669362.66666663</v>
      </c>
      <c r="AH64" s="482">
        <f t="shared" si="77"/>
        <v>906669362.66666663</v>
      </c>
      <c r="AI64" s="482">
        <f t="shared" si="77"/>
        <v>906669362.66666663</v>
      </c>
      <c r="AJ64" s="482">
        <f t="shared" si="77"/>
        <v>906669362.66666663</v>
      </c>
      <c r="AK64" s="482">
        <f t="shared" si="77"/>
        <v>906669362.66666663</v>
      </c>
      <c r="AL64" s="482">
        <f t="shared" si="77"/>
        <v>906669362.66666663</v>
      </c>
      <c r="AM64" s="482">
        <f t="shared" si="77"/>
        <v>906669362.66666663</v>
      </c>
      <c r="AN64" s="482">
        <f t="shared" si="77"/>
        <v>906669362.66666663</v>
      </c>
      <c r="AO64" s="482">
        <f t="shared" si="77"/>
        <v>906669362.66666663</v>
      </c>
      <c r="AP64" s="482">
        <f t="shared" si="77"/>
        <v>906669362.66666663</v>
      </c>
      <c r="AQ64" s="482">
        <f t="shared" si="77"/>
        <v>906669362.66666663</v>
      </c>
      <c r="AR64" s="482">
        <f t="shared" si="77"/>
        <v>906669362.66666663</v>
      </c>
      <c r="AS64" s="482">
        <f t="shared" si="77"/>
        <v>906669362.66666663</v>
      </c>
      <c r="AT64" s="482">
        <f t="shared" si="77"/>
        <v>906669362.66666663</v>
      </c>
      <c r="AU64" s="319">
        <f t="shared" si="77"/>
        <v>906669362.66666663</v>
      </c>
      <c r="AV64" s="319">
        <f t="shared" si="77"/>
        <v>906669362.66666663</v>
      </c>
      <c r="AW64" s="319">
        <f t="shared" si="77"/>
        <v>906669362.66666663</v>
      </c>
      <c r="AX64" s="319">
        <f t="shared" si="77"/>
        <v>906669362.66666663</v>
      </c>
      <c r="AY64" s="319">
        <f t="shared" si="77"/>
        <v>906669362.66666663</v>
      </c>
      <c r="AZ64" s="319">
        <f t="shared" si="77"/>
        <v>906669362.66666663</v>
      </c>
      <c r="BA64" s="319">
        <f t="shared" si="77"/>
        <v>906669362.66666663</v>
      </c>
      <c r="BB64" s="319">
        <f t="shared" si="77"/>
        <v>906669362.66666663</v>
      </c>
      <c r="BC64" s="319">
        <f t="shared" si="77"/>
        <v>906669362.66666663</v>
      </c>
      <c r="BD64" s="319">
        <f t="shared" si="77"/>
        <v>906669362.66666663</v>
      </c>
      <c r="BE64" s="319">
        <f t="shared" si="77"/>
        <v>906669362.66666663</v>
      </c>
      <c r="BF64" s="319">
        <f t="shared" si="77"/>
        <v>906669362.66666663</v>
      </c>
      <c r="BG64" s="319">
        <f t="shared" si="77"/>
        <v>906669362.66666663</v>
      </c>
      <c r="BH64" s="319">
        <f t="shared" si="77"/>
        <v>906669362.66666663</v>
      </c>
      <c r="BI64" s="319">
        <f t="shared" si="77"/>
        <v>906669362.66666663</v>
      </c>
      <c r="BJ64" s="319">
        <f t="shared" si="77"/>
        <v>906669362.66666663</v>
      </c>
      <c r="BK64" s="319">
        <f t="shared" si="77"/>
        <v>906669362.66666663</v>
      </c>
      <c r="BL64" s="319">
        <f t="shared" si="77"/>
        <v>906669362.66666663</v>
      </c>
      <c r="BM64" s="319">
        <f t="shared" si="77"/>
        <v>906669362.66666663</v>
      </c>
      <c r="BN64" s="319">
        <f t="shared" si="77"/>
        <v>906669362.66666663</v>
      </c>
      <c r="BO64" s="319">
        <f t="shared" si="77"/>
        <v>906669362.66666663</v>
      </c>
      <c r="BP64" s="319">
        <f t="shared" si="77"/>
        <v>906669362.66666663</v>
      </c>
      <c r="BQ64" s="319">
        <f t="shared" si="77"/>
        <v>906669362.66666663</v>
      </c>
      <c r="BR64" s="319">
        <f t="shared" si="77"/>
        <v>906669362.66666663</v>
      </c>
      <c r="BS64" s="319">
        <f t="shared" ref="BS64:CL64" si="78">BS44</f>
        <v>906669362.66666663</v>
      </c>
      <c r="BT64" s="319">
        <f t="shared" si="78"/>
        <v>906669362.66666663</v>
      </c>
      <c r="BU64" s="319">
        <f t="shared" si="78"/>
        <v>906669362.66666663</v>
      </c>
      <c r="BV64" s="319">
        <f t="shared" si="78"/>
        <v>906669362.66666663</v>
      </c>
      <c r="BW64" s="319">
        <f t="shared" si="78"/>
        <v>906669362.66666663</v>
      </c>
      <c r="BX64" s="319">
        <f t="shared" si="78"/>
        <v>906669362.66666663</v>
      </c>
      <c r="BY64" s="319">
        <f t="shared" si="78"/>
        <v>906669362.66666663</v>
      </c>
      <c r="BZ64" s="319">
        <f t="shared" si="78"/>
        <v>906669362.66666663</v>
      </c>
      <c r="CA64" s="319">
        <f t="shared" si="78"/>
        <v>906669362.66666663</v>
      </c>
      <c r="CB64" s="319">
        <f t="shared" si="78"/>
        <v>906669362.66666663</v>
      </c>
      <c r="CC64" s="319">
        <f t="shared" si="78"/>
        <v>906669362.66666663</v>
      </c>
      <c r="CD64" s="319">
        <f t="shared" si="78"/>
        <v>906669362.66666663</v>
      </c>
      <c r="CE64" s="319">
        <f t="shared" si="78"/>
        <v>906669362.66666663</v>
      </c>
      <c r="CF64" s="319">
        <f t="shared" si="78"/>
        <v>906669362.66666663</v>
      </c>
      <c r="CG64" s="319">
        <f t="shared" si="78"/>
        <v>906669362.66666663</v>
      </c>
      <c r="CH64" s="319">
        <f t="shared" si="78"/>
        <v>906669362.66666663</v>
      </c>
      <c r="CI64" s="319">
        <f t="shared" si="78"/>
        <v>906669362.66666663</v>
      </c>
      <c r="CJ64" s="319">
        <f t="shared" si="78"/>
        <v>906669362.66666663</v>
      </c>
      <c r="CK64" s="319">
        <f t="shared" si="78"/>
        <v>906669362.66666663</v>
      </c>
      <c r="CL64" s="319">
        <f t="shared" si="78"/>
        <v>906669362.66666663</v>
      </c>
      <c r="CM64" s="319">
        <f t="shared" si="27"/>
        <v>906669362.66666627</v>
      </c>
      <c r="CN64" s="58"/>
      <c r="CO64" s="58"/>
      <c r="CP64" s="58"/>
      <c r="CQ64" s="58"/>
      <c r="CR64" s="58"/>
      <c r="CS64" s="58"/>
      <c r="CT64" s="58"/>
      <c r="CU64" s="58"/>
      <c r="CV64" s="58"/>
      <c r="CW64" s="58"/>
      <c r="CX64" s="58"/>
      <c r="CY64" s="58"/>
      <c r="CZ64" s="58"/>
      <c r="DA64" s="58"/>
      <c r="DB64" s="58"/>
      <c r="DC64" s="58"/>
      <c r="DD64" s="58"/>
      <c r="DE64" s="58"/>
      <c r="DF64" s="58"/>
      <c r="DG64" s="58"/>
      <c r="DH64" s="58"/>
      <c r="DI64" s="58"/>
      <c r="DJ64" s="58"/>
      <c r="DK64" s="58"/>
      <c r="DL64" s="58"/>
      <c r="DM64" s="58"/>
      <c r="DN64" s="58"/>
      <c r="DO64" s="58"/>
      <c r="DP64" s="58"/>
      <c r="DQ64" s="58"/>
      <c r="DR64" s="58"/>
      <c r="DS64" s="58"/>
      <c r="DT64" s="58"/>
      <c r="DU64" s="58"/>
      <c r="DV64" s="58"/>
      <c r="DW64" s="58"/>
      <c r="DX64" s="58"/>
      <c r="DY64" s="58"/>
      <c r="DZ64" s="58"/>
      <c r="EA64" s="58"/>
      <c r="EB64" s="58"/>
      <c r="EC64" s="58"/>
      <c r="ED64" s="58"/>
      <c r="EE64" s="58"/>
      <c r="EF64" s="58"/>
      <c r="EG64" s="58"/>
      <c r="EH64" s="58"/>
      <c r="EI64" s="58"/>
      <c r="EJ64" s="58"/>
      <c r="EK64" s="58"/>
      <c r="EL64" s="58"/>
      <c r="EM64" s="58"/>
      <c r="EN64" s="58"/>
      <c r="EO64" s="58"/>
      <c r="EP64" s="58"/>
      <c r="EQ64" s="58"/>
      <c r="ER64" s="58"/>
      <c r="ES64" s="58"/>
      <c r="ET64" s="58"/>
      <c r="EU64" s="58"/>
      <c r="EV64" s="58"/>
      <c r="EW64" s="58"/>
      <c r="EX64" s="58"/>
      <c r="EY64" s="58"/>
      <c r="EZ64" s="58"/>
      <c r="FA64" s="58"/>
      <c r="FB64" s="58"/>
      <c r="FC64" s="58"/>
      <c r="FD64" s="58"/>
      <c r="FE64" s="58"/>
      <c r="FF64" s="58"/>
      <c r="FG64" s="58"/>
      <c r="FH64" s="58"/>
      <c r="FI64" s="58"/>
      <c r="FJ64" s="58"/>
      <c r="FK64" s="58"/>
      <c r="FL64" s="58"/>
      <c r="FM64" s="58"/>
      <c r="FN64" s="58"/>
      <c r="FO64" s="58"/>
      <c r="FP64" s="58"/>
      <c r="FQ64" s="58"/>
      <c r="FR64" s="58"/>
      <c r="FS64" s="58"/>
      <c r="FT64" s="58"/>
      <c r="FU64" s="58"/>
      <c r="FV64" s="58"/>
    </row>
    <row r="65" spans="1:178">
      <c r="A65" s="1055"/>
      <c r="B65" s="1055"/>
      <c r="C65" s="1055"/>
      <c r="D65" s="1055"/>
      <c r="E65" s="1056"/>
      <c r="F65" s="363" t="s">
        <v>190</v>
      </c>
      <c r="G65" s="482">
        <f t="shared" ref="G65:AS65" si="79">SUM(G60:G64)</f>
        <v>1881253253.4021482</v>
      </c>
      <c r="H65" s="482">
        <f t="shared" si="79"/>
        <v>1881253253.4021482</v>
      </c>
      <c r="I65" s="482">
        <f t="shared" si="79"/>
        <v>1881253253.4021482</v>
      </c>
      <c r="J65" s="482">
        <f t="shared" si="79"/>
        <v>1881255175.6693482</v>
      </c>
      <c r="K65" s="482">
        <f t="shared" si="79"/>
        <v>1881700844.1660147</v>
      </c>
      <c r="L65" s="482">
        <f t="shared" si="79"/>
        <v>1881701484.9217482</v>
      </c>
      <c r="M65" s="482">
        <f t="shared" si="79"/>
        <v>1881701484.9217482</v>
      </c>
      <c r="N65" s="482">
        <f t="shared" si="79"/>
        <v>1882953226.0870314</v>
      </c>
      <c r="O65" s="482">
        <f t="shared" si="79"/>
        <v>1881702125.6774817</v>
      </c>
      <c r="P65" s="482">
        <f t="shared" si="79"/>
        <v>1882955628.921031</v>
      </c>
      <c r="Q65" s="482">
        <f t="shared" si="79"/>
        <v>1884206729.3305826</v>
      </c>
      <c r="R65" s="482">
        <f t="shared" si="79"/>
        <v>1885457829.7401342</v>
      </c>
      <c r="S65" s="482">
        <f t="shared" si="79"/>
        <v>1886709570.905417</v>
      </c>
      <c r="T65" s="482">
        <f t="shared" si="79"/>
        <v>1887962829.4652958</v>
      </c>
      <c r="U65" s="482">
        <f t="shared" si="79"/>
        <v>1889214162.3703437</v>
      </c>
      <c r="V65" s="482">
        <f t="shared" si="79"/>
        <v>1890567994.4586639</v>
      </c>
      <c r="W65" s="482">
        <f t="shared" si="79"/>
        <v>1891781955.2034168</v>
      </c>
      <c r="X65" s="482">
        <f t="shared" si="79"/>
        <v>1892995915.9481683</v>
      </c>
      <c r="Y65" s="482">
        <f t="shared" si="79"/>
        <v>1894209876.6929212</v>
      </c>
      <c r="Z65" s="482">
        <f t="shared" si="79"/>
        <v>1895423837.437674</v>
      </c>
      <c r="AA65" s="482">
        <f t="shared" si="79"/>
        <v>1896637798.1824255</v>
      </c>
      <c r="AB65" s="482">
        <f t="shared" si="79"/>
        <v>1897851758.9271784</v>
      </c>
      <c r="AC65" s="482">
        <f t="shared" si="79"/>
        <v>1899065719.6719313</v>
      </c>
      <c r="AD65" s="482">
        <f t="shared" si="79"/>
        <v>1900279680.4166827</v>
      </c>
      <c r="AE65" s="482">
        <f t="shared" si="79"/>
        <v>1901495333.1179814</v>
      </c>
      <c r="AF65" s="482">
        <f t="shared" si="79"/>
        <v>1902707601.9061866</v>
      </c>
      <c r="AG65" s="482">
        <f t="shared" si="79"/>
        <v>1903921988.6718264</v>
      </c>
      <c r="AH65" s="482">
        <f t="shared" si="79"/>
        <v>1905135523.3956928</v>
      </c>
      <c r="AI65" s="482">
        <f t="shared" si="79"/>
        <v>1906349484.1404438</v>
      </c>
      <c r="AJ65" s="482">
        <f t="shared" si="79"/>
        <v>1907563444.8851972</v>
      </c>
      <c r="AK65" s="482">
        <f t="shared" si="79"/>
        <v>1908777405.62995</v>
      </c>
      <c r="AL65" s="482">
        <f t="shared" si="79"/>
        <v>1909991366.374701</v>
      </c>
      <c r="AM65" s="482">
        <f t="shared" si="79"/>
        <v>1911205327.1194539</v>
      </c>
      <c r="AN65" s="482">
        <f t="shared" si="79"/>
        <v>1912419287.8642054</v>
      </c>
      <c r="AO65" s="482">
        <f t="shared" si="79"/>
        <v>1913633248.6089582</v>
      </c>
      <c r="AP65" s="482">
        <f t="shared" si="79"/>
        <v>1914847209.3537111</v>
      </c>
      <c r="AQ65" s="482">
        <f t="shared" si="79"/>
        <v>1916061170.0984626</v>
      </c>
      <c r="AR65" s="482">
        <f t="shared" si="79"/>
        <v>1917275130.8432155</v>
      </c>
      <c r="AS65" s="482">
        <f t="shared" si="79"/>
        <v>1918489091.5879683</v>
      </c>
      <c r="AT65" s="482">
        <f>SUM(AT60:AT64)</f>
        <v>1781148934.155745</v>
      </c>
      <c r="AU65" s="319">
        <f>SUM(AU60:AU64)</f>
        <v>1889479045.9460783</v>
      </c>
      <c r="AV65" s="319">
        <f t="shared" ref="AV65:CL65" si="80">SUM(AV60:AV64)</f>
        <v>1892694165.2050672</v>
      </c>
      <c r="AW65" s="319">
        <f t="shared" si="80"/>
        <v>1872082731.0445957</v>
      </c>
      <c r="AX65" s="319">
        <f t="shared" si="80"/>
        <v>1922649675.746345</v>
      </c>
      <c r="AY65" s="319">
        <f t="shared" si="80"/>
        <v>1976028412.495429</v>
      </c>
      <c r="AZ65" s="319">
        <f t="shared" si="80"/>
        <v>1991359760.6945996</v>
      </c>
      <c r="BA65" s="319">
        <f t="shared" si="80"/>
        <v>2001124113.1591029</v>
      </c>
      <c r="BB65" s="319">
        <f t="shared" si="80"/>
        <v>1990228975.9930654</v>
      </c>
      <c r="BC65" s="319">
        <f t="shared" si="80"/>
        <v>2040405818.3686342</v>
      </c>
      <c r="BD65" s="319">
        <f t="shared" si="80"/>
        <v>2000101394.0675907</v>
      </c>
      <c r="BE65" s="319">
        <f t="shared" si="80"/>
        <v>1958362358.2767167</v>
      </c>
      <c r="BF65" s="319">
        <f t="shared" si="80"/>
        <v>1951300437.2030916</v>
      </c>
      <c r="BG65" s="319">
        <f t="shared" si="80"/>
        <v>2003637724.6957455</v>
      </c>
      <c r="BH65" s="319">
        <f t="shared" si="80"/>
        <v>1931458322.2940121</v>
      </c>
      <c r="BI65" s="319">
        <f t="shared" si="80"/>
        <v>1862114339.3569741</v>
      </c>
      <c r="BJ65" s="319">
        <f t="shared" si="80"/>
        <v>1849987405.0438781</v>
      </c>
      <c r="BK65" s="319">
        <f t="shared" si="80"/>
        <v>1882206090.7845449</v>
      </c>
      <c r="BL65" s="319">
        <f t="shared" si="80"/>
        <v>1930242003.4335446</v>
      </c>
      <c r="BM65" s="319">
        <f t="shared" si="80"/>
        <v>1880930529.1925449</v>
      </c>
      <c r="BN65" s="319">
        <f t="shared" si="80"/>
        <v>1863844846.2156115</v>
      </c>
      <c r="BO65" s="319">
        <f t="shared" si="80"/>
        <v>1966196890.0870113</v>
      </c>
      <c r="BP65" s="319">
        <f t="shared" si="80"/>
        <v>1954967863.2596116</v>
      </c>
      <c r="BQ65" s="319">
        <f t="shared" si="80"/>
        <v>2016606161.9722781</v>
      </c>
      <c r="BR65" s="319">
        <f t="shared" si="80"/>
        <v>1918885626.4041448</v>
      </c>
      <c r="BS65" s="319">
        <f t="shared" si="80"/>
        <v>1894722979.4256115</v>
      </c>
      <c r="BT65" s="319">
        <f t="shared" si="80"/>
        <v>1737694322.0214782</v>
      </c>
      <c r="BU65" s="319">
        <f t="shared" si="80"/>
        <v>1829044258.1316113</v>
      </c>
      <c r="BV65" s="319">
        <f t="shared" si="80"/>
        <v>1806695911.0120115</v>
      </c>
      <c r="BW65" s="319">
        <f t="shared" si="80"/>
        <v>1679859045.890945</v>
      </c>
      <c r="BX65" s="319">
        <f t="shared" si="80"/>
        <v>1664772566.5702782</v>
      </c>
      <c r="BY65" s="319">
        <f t="shared" si="80"/>
        <v>1718533276.9925447</v>
      </c>
      <c r="BZ65" s="319">
        <f t="shared" si="80"/>
        <v>1783584503.9084783</v>
      </c>
      <c r="CA65" s="319">
        <f t="shared" si="80"/>
        <v>1805622793.9055448</v>
      </c>
      <c r="CB65" s="319">
        <f t="shared" si="80"/>
        <v>1852682892.7830114</v>
      </c>
      <c r="CC65" s="319">
        <f t="shared" si="80"/>
        <v>1893878440.4849448</v>
      </c>
      <c r="CD65" s="319">
        <f t="shared" si="80"/>
        <v>1976093762.8606782</v>
      </c>
      <c r="CE65" s="319">
        <f t="shared" si="80"/>
        <v>2087583052.1418114</v>
      </c>
      <c r="CF65" s="319">
        <f t="shared" si="80"/>
        <v>2003587035.2569447</v>
      </c>
      <c r="CG65" s="319">
        <f t="shared" si="80"/>
        <v>1896470068.5849447</v>
      </c>
      <c r="CH65" s="319">
        <f t="shared" si="80"/>
        <v>1890906375.1103449</v>
      </c>
      <c r="CI65" s="319">
        <f t="shared" si="80"/>
        <v>1940432102.0496778</v>
      </c>
      <c r="CJ65" s="319">
        <f t="shared" si="80"/>
        <v>2016299194.2077451</v>
      </c>
      <c r="CK65" s="319">
        <f t="shared" si="80"/>
        <v>2119051470.1290779</v>
      </c>
      <c r="CL65" s="319">
        <f t="shared" si="80"/>
        <v>2180653451.7221446</v>
      </c>
      <c r="CM65" s="319">
        <f t="shared" si="27"/>
        <v>1905549751.56197</v>
      </c>
      <c r="CN65" s="58"/>
      <c r="CO65" s="58"/>
      <c r="CP65" s="58"/>
      <c r="CQ65" s="58"/>
      <c r="CR65" s="58"/>
      <c r="CS65" s="58"/>
      <c r="CT65" s="58"/>
      <c r="CU65" s="58"/>
      <c r="CV65" s="58"/>
      <c r="CW65" s="58"/>
      <c r="CX65" s="58"/>
      <c r="CY65" s="58"/>
      <c r="CZ65" s="58"/>
      <c r="DA65" s="58"/>
      <c r="DB65" s="58"/>
      <c r="DC65" s="58"/>
      <c r="DD65" s="58"/>
      <c r="DE65" s="58"/>
      <c r="DF65" s="58"/>
      <c r="DG65" s="58"/>
      <c r="DH65" s="58"/>
      <c r="DI65" s="58"/>
      <c r="DJ65" s="58"/>
      <c r="DK65" s="58"/>
      <c r="DL65" s="58"/>
      <c r="DM65" s="58"/>
      <c r="DN65" s="58"/>
      <c r="DO65" s="58"/>
      <c r="DP65" s="58"/>
      <c r="DQ65" s="58"/>
      <c r="DR65" s="58"/>
      <c r="DS65" s="58"/>
      <c r="DT65" s="58"/>
      <c r="DU65" s="58"/>
      <c r="DV65" s="58"/>
      <c r="DW65" s="58"/>
      <c r="DX65" s="58"/>
      <c r="DY65" s="58"/>
      <c r="DZ65" s="58"/>
      <c r="EA65" s="58"/>
      <c r="EB65" s="58"/>
      <c r="EC65" s="58"/>
      <c r="ED65" s="58"/>
      <c r="EE65" s="58"/>
      <c r="EF65" s="58"/>
      <c r="EG65" s="58"/>
      <c r="EH65" s="58"/>
      <c r="EI65" s="58"/>
      <c r="EJ65" s="58"/>
      <c r="EK65" s="58"/>
      <c r="EL65" s="58"/>
      <c r="EM65" s="58"/>
      <c r="EN65" s="58"/>
      <c r="EO65" s="58"/>
      <c r="EP65" s="58"/>
      <c r="EQ65" s="58"/>
      <c r="ER65" s="58"/>
      <c r="ES65" s="58"/>
      <c r="ET65" s="58"/>
      <c r="EU65" s="58"/>
      <c r="EV65" s="58"/>
      <c r="EW65" s="58"/>
      <c r="EX65" s="58"/>
      <c r="EY65" s="58"/>
      <c r="EZ65" s="58"/>
      <c r="FA65" s="58"/>
      <c r="FB65" s="58"/>
      <c r="FC65" s="58"/>
      <c r="FD65" s="58"/>
      <c r="FE65" s="58"/>
      <c r="FF65" s="58"/>
      <c r="FG65" s="58"/>
      <c r="FH65" s="58"/>
      <c r="FI65" s="58"/>
      <c r="FJ65" s="58"/>
      <c r="FK65" s="58"/>
      <c r="FL65" s="58"/>
      <c r="FM65" s="58"/>
      <c r="FN65" s="58"/>
      <c r="FO65" s="58"/>
      <c r="FP65" s="58"/>
      <c r="FQ65" s="58"/>
      <c r="FR65" s="58"/>
      <c r="FS65" s="58"/>
      <c r="FT65" s="58"/>
      <c r="FU65" s="58"/>
      <c r="FV65" s="58"/>
    </row>
    <row r="66" spans="1:178">
      <c r="A66" s="1055"/>
      <c r="B66" s="1055"/>
      <c r="C66" s="1055"/>
      <c r="D66" s="1055"/>
      <c r="E66" s="1056"/>
      <c r="F66" s="363" t="s">
        <v>191</v>
      </c>
      <c r="G66" s="482">
        <f t="shared" ref="G66:BR66" si="81">(0.101511101973684*G17*0.85*G3/0.685)+(0.20964*G16*0.5/0.82)</f>
        <v>144211262.25299969</v>
      </c>
      <c r="H66" s="482">
        <f t="shared" si="81"/>
        <v>141158531.47961324</v>
      </c>
      <c r="I66" s="482">
        <f t="shared" si="81"/>
        <v>123919581.22990137</v>
      </c>
      <c r="J66" s="482">
        <f t="shared" si="81"/>
        <v>119394356.78935201</v>
      </c>
      <c r="K66" s="482">
        <f t="shared" si="81"/>
        <v>117634547.28469393</v>
      </c>
      <c r="L66" s="482">
        <f t="shared" si="81"/>
        <v>118891554.07373543</v>
      </c>
      <c r="M66" s="482">
        <f t="shared" si="81"/>
        <v>117275402.48782495</v>
      </c>
      <c r="N66" s="482">
        <f t="shared" si="81"/>
        <v>116018395.69878344</v>
      </c>
      <c r="O66" s="482">
        <f t="shared" si="81"/>
        <v>108117210.16766553</v>
      </c>
      <c r="P66" s="482">
        <f t="shared" si="81"/>
        <v>106321486.18332055</v>
      </c>
      <c r="Q66" s="482">
        <f t="shared" si="81"/>
        <v>105244051.79271355</v>
      </c>
      <c r="R66" s="482">
        <f t="shared" si="81"/>
        <v>101293459.02715459</v>
      </c>
      <c r="S66" s="482">
        <f t="shared" si="81"/>
        <v>104633505.63803625</v>
      </c>
      <c r="T66" s="482">
        <f t="shared" si="81"/>
        <v>100503340.4740428</v>
      </c>
      <c r="U66" s="482">
        <f t="shared" si="81"/>
        <v>102191321.01932709</v>
      </c>
      <c r="V66" s="482">
        <f t="shared" si="81"/>
        <v>114725474.43005507</v>
      </c>
      <c r="W66" s="482">
        <f t="shared" si="81"/>
        <v>116233882.57690485</v>
      </c>
      <c r="X66" s="482">
        <f t="shared" si="81"/>
        <v>98061155.855333626</v>
      </c>
      <c r="Y66" s="482">
        <f t="shared" si="81"/>
        <v>84162252.216503456</v>
      </c>
      <c r="Z66" s="482">
        <f t="shared" si="81"/>
        <v>88364246.339870721</v>
      </c>
      <c r="AA66" s="482">
        <f t="shared" si="81"/>
        <v>86568522.355525732</v>
      </c>
      <c r="AB66" s="482">
        <f t="shared" si="81"/>
        <v>89441680.730477706</v>
      </c>
      <c r="AC66" s="482">
        <f t="shared" si="81"/>
        <v>83264390.224330962</v>
      </c>
      <c r="AD66" s="482">
        <f t="shared" si="81"/>
        <v>81720067.597794279</v>
      </c>
      <c r="AE66" s="482">
        <f t="shared" si="81"/>
        <v>76692040.441628322</v>
      </c>
      <c r="AF66" s="482">
        <f t="shared" si="81"/>
        <v>86281206.518030539</v>
      </c>
      <c r="AG66" s="482">
        <f t="shared" si="81"/>
        <v>97235122.822534934</v>
      </c>
      <c r="AH66" s="482">
        <f t="shared" si="81"/>
        <v>102370893.41776159</v>
      </c>
      <c r="AI66" s="482">
        <f t="shared" si="81"/>
        <v>110056592.07075812</v>
      </c>
      <c r="AJ66" s="482">
        <f t="shared" si="81"/>
        <v>120292218.78152451</v>
      </c>
      <c r="AK66" s="482">
        <f t="shared" si="81"/>
        <v>125320245.93769045</v>
      </c>
      <c r="AL66" s="482">
        <f t="shared" si="81"/>
        <v>115910652.25972275</v>
      </c>
      <c r="AM66" s="482">
        <f t="shared" si="81"/>
        <v>106501058.58175503</v>
      </c>
      <c r="AN66" s="482">
        <f t="shared" si="81"/>
        <v>101868090.70214498</v>
      </c>
      <c r="AO66" s="482">
        <f t="shared" si="81"/>
        <v>92602154.942924872</v>
      </c>
      <c r="AP66" s="482">
        <f t="shared" si="81"/>
        <v>103412413.32868166</v>
      </c>
      <c r="AQ66" s="482">
        <f t="shared" si="81"/>
        <v>135555872.64845687</v>
      </c>
      <c r="AR66" s="482">
        <f t="shared" si="81"/>
        <v>139757866.77182415</v>
      </c>
      <c r="AS66" s="482">
        <f t="shared" si="81"/>
        <v>140799386.68274423</v>
      </c>
      <c r="AT66" s="482">
        <f t="shared" si="81"/>
        <v>141042670.51167092</v>
      </c>
      <c r="AU66" s="319">
        <f t="shared" si="81"/>
        <v>126868134.31726792</v>
      </c>
      <c r="AV66" s="319">
        <f t="shared" si="81"/>
        <v>117248982.22300915</v>
      </c>
      <c r="AW66" s="319">
        <f t="shared" si="81"/>
        <v>117066070.83848886</v>
      </c>
      <c r="AX66" s="319">
        <f t="shared" si="81"/>
        <v>126872650.49918385</v>
      </c>
      <c r="AY66" s="319">
        <f t="shared" si="81"/>
        <v>142609365.38250875</v>
      </c>
      <c r="AZ66" s="319">
        <f t="shared" si="81"/>
        <v>143217434.57324776</v>
      </c>
      <c r="BA66" s="319">
        <f t="shared" si="81"/>
        <v>151526461.18569309</v>
      </c>
      <c r="BB66" s="319">
        <f t="shared" si="81"/>
        <v>162900053.28156972</v>
      </c>
      <c r="BC66" s="319">
        <f t="shared" si="81"/>
        <v>181101048.87238562</v>
      </c>
      <c r="BD66" s="319">
        <f t="shared" si="81"/>
        <v>145767719.13368094</v>
      </c>
      <c r="BE66" s="319">
        <f t="shared" si="81"/>
        <v>118346266.79282796</v>
      </c>
      <c r="BF66" s="319">
        <f t="shared" si="81"/>
        <v>114334882.19032568</v>
      </c>
      <c r="BG66" s="319">
        <f t="shared" si="81"/>
        <v>117726581.33575012</v>
      </c>
      <c r="BH66" s="319">
        <f t="shared" si="81"/>
        <v>127881043.17700113</v>
      </c>
      <c r="BI66" s="319">
        <f t="shared" si="81"/>
        <v>134382713.24475175</v>
      </c>
      <c r="BJ66" s="319">
        <f t="shared" si="81"/>
        <v>137615321.87981027</v>
      </c>
      <c r="BK66" s="319">
        <f t="shared" si="81"/>
        <v>112172871.4748255</v>
      </c>
      <c r="BL66" s="319">
        <f t="shared" si="81"/>
        <v>96939883.326226264</v>
      </c>
      <c r="BM66" s="319">
        <f t="shared" si="81"/>
        <v>98790038.737584323</v>
      </c>
      <c r="BN66" s="319">
        <f t="shared" si="81"/>
        <v>93857926.737431899</v>
      </c>
      <c r="BO66" s="319">
        <f t="shared" si="81"/>
        <v>112082686.15398826</v>
      </c>
      <c r="BP66" s="319">
        <f t="shared" si="81"/>
        <v>115410634.55537544</v>
      </c>
      <c r="BQ66" s="319">
        <f t="shared" si="81"/>
        <v>117684595.14339052</v>
      </c>
      <c r="BR66" s="319">
        <f t="shared" si="81"/>
        <v>151383086.08962193</v>
      </c>
      <c r="BS66" s="319">
        <f t="shared" ref="BS66:CL66" si="82">(0.101511101973684*BS17*0.85*BS3/0.685)+(0.20964*BS16*0.5/0.82)</f>
        <v>135687826.46297562</v>
      </c>
      <c r="BT66" s="319">
        <f t="shared" si="82"/>
        <v>119940822.21868522</v>
      </c>
      <c r="BU66" s="319">
        <f t="shared" si="82"/>
        <v>65857612.299825288</v>
      </c>
      <c r="BV66" s="319">
        <f t="shared" si="82"/>
        <v>96651512.516452432</v>
      </c>
      <c r="BW66" s="319">
        <f t="shared" si="82"/>
        <v>99618345.099671379</v>
      </c>
      <c r="BX66" s="319">
        <f t="shared" si="82"/>
        <v>101431186.40300226</v>
      </c>
      <c r="BY66" s="319">
        <f t="shared" si="82"/>
        <v>102408192.77166216</v>
      </c>
      <c r="BZ66" s="319">
        <f t="shared" si="82"/>
        <v>100791652.22888103</v>
      </c>
      <c r="CA66" s="319">
        <f t="shared" si="82"/>
        <v>103522084.99925956</v>
      </c>
      <c r="CB66" s="319">
        <f t="shared" si="82"/>
        <v>119984750.67971331</v>
      </c>
      <c r="CC66" s="319">
        <f t="shared" si="82"/>
        <v>124437355.57321313</v>
      </c>
      <c r="CD66" s="319">
        <f t="shared" si="82"/>
        <v>151138710.93216014</v>
      </c>
      <c r="CE66" s="319">
        <f t="shared" si="82"/>
        <v>165485358.09008402</v>
      </c>
      <c r="CF66" s="319">
        <f t="shared" si="82"/>
        <v>171045148.32723874</v>
      </c>
      <c r="CG66" s="319">
        <f t="shared" si="82"/>
        <v>156745819.21060356</v>
      </c>
      <c r="CH66" s="319">
        <f t="shared" si="82"/>
        <v>136436970.63876346</v>
      </c>
      <c r="CI66" s="319">
        <f t="shared" si="82"/>
        <v>146581840.97039816</v>
      </c>
      <c r="CJ66" s="319">
        <f t="shared" si="82"/>
        <v>173400186.14965239</v>
      </c>
      <c r="CK66" s="319">
        <f t="shared" si="82"/>
        <v>183743087.31848729</v>
      </c>
      <c r="CL66" s="319">
        <f t="shared" si="82"/>
        <v>183563209.34208903</v>
      </c>
      <c r="CM66" s="319">
        <f t="shared" si="27"/>
        <v>119848884.37767355</v>
      </c>
      <c r="CN66" s="58"/>
      <c r="CO66" s="58"/>
      <c r="CP66" s="58"/>
      <c r="CQ66" s="58"/>
      <c r="CR66" s="58"/>
      <c r="CS66" s="58"/>
      <c r="CT66" s="58"/>
      <c r="CU66" s="58"/>
      <c r="CV66" s="58"/>
      <c r="CW66" s="58"/>
      <c r="CX66" s="58"/>
      <c r="CY66" s="58"/>
      <c r="CZ66" s="58"/>
      <c r="DA66" s="58"/>
      <c r="DB66" s="58"/>
      <c r="DC66" s="58"/>
      <c r="DD66" s="58"/>
      <c r="DE66" s="58"/>
      <c r="DF66" s="58"/>
      <c r="DG66" s="58"/>
      <c r="DH66" s="58"/>
      <c r="DI66" s="58"/>
      <c r="DJ66" s="58"/>
      <c r="DK66" s="58"/>
      <c r="DL66" s="58"/>
      <c r="DM66" s="58"/>
      <c r="DN66" s="58"/>
      <c r="DO66" s="58"/>
      <c r="DP66" s="58"/>
      <c r="DQ66" s="58"/>
      <c r="DR66" s="58"/>
      <c r="DS66" s="58"/>
      <c r="DT66" s="58"/>
      <c r="DU66" s="58"/>
      <c r="DV66" s="58"/>
      <c r="DW66" s="58"/>
      <c r="DX66" s="58"/>
      <c r="DY66" s="58"/>
      <c r="DZ66" s="58"/>
      <c r="EA66" s="58"/>
      <c r="EB66" s="58"/>
      <c r="EC66" s="58"/>
      <c r="ED66" s="58"/>
      <c r="EE66" s="58"/>
      <c r="EF66" s="58"/>
      <c r="EG66" s="58"/>
      <c r="EH66" s="58"/>
      <c r="EI66" s="58"/>
      <c r="EJ66" s="58"/>
      <c r="EK66" s="58"/>
      <c r="EL66" s="58"/>
      <c r="EM66" s="58"/>
      <c r="EN66" s="58"/>
      <c r="EO66" s="58"/>
      <c r="EP66" s="58"/>
      <c r="EQ66" s="58"/>
      <c r="ER66" s="58"/>
      <c r="ES66" s="58"/>
      <c r="ET66" s="58"/>
      <c r="EU66" s="58"/>
      <c r="EV66" s="58"/>
      <c r="EW66" s="58"/>
      <c r="EX66" s="58"/>
      <c r="EY66" s="58"/>
      <c r="EZ66" s="58"/>
      <c r="FA66" s="58"/>
      <c r="FB66" s="58"/>
      <c r="FC66" s="58"/>
      <c r="FD66" s="58"/>
      <c r="FE66" s="58"/>
      <c r="FF66" s="58"/>
      <c r="FG66" s="58"/>
      <c r="FH66" s="58"/>
      <c r="FI66" s="58"/>
      <c r="FJ66" s="58"/>
      <c r="FK66" s="58"/>
      <c r="FL66" s="58"/>
      <c r="FM66" s="58"/>
      <c r="FN66" s="58"/>
      <c r="FO66" s="58"/>
      <c r="FP66" s="58"/>
      <c r="FQ66" s="58"/>
      <c r="FR66" s="58"/>
      <c r="FS66" s="58"/>
      <c r="FT66" s="58"/>
      <c r="FU66" s="58"/>
      <c r="FV66" s="58"/>
    </row>
    <row r="67" spans="1:178">
      <c r="A67" s="1055"/>
      <c r="B67" s="1055"/>
      <c r="C67" s="1055"/>
      <c r="D67" s="1055"/>
      <c r="E67" s="1056"/>
      <c r="F67" s="363" t="s">
        <v>192</v>
      </c>
      <c r="G67" s="482">
        <f t="shared" ref="G67:BR67" si="83">G46+G47+G48+G49+G65+G66</f>
        <v>8943235348.9884815</v>
      </c>
      <c r="H67" s="482">
        <f t="shared" si="83"/>
        <v>8876261784.8817616</v>
      </c>
      <c r="I67" s="482">
        <f t="shared" si="83"/>
        <v>8098972834.6320496</v>
      </c>
      <c r="J67" s="482">
        <f t="shared" si="83"/>
        <v>7883441199.1253662</v>
      </c>
      <c r="K67" s="482">
        <f t="shared" si="83"/>
        <v>7868947891.4507084</v>
      </c>
      <c r="L67" s="482">
        <f t="shared" si="83"/>
        <v>8037497205.6621504</v>
      </c>
      <c r="M67" s="482">
        <f t="shared" si="83"/>
        <v>7943381887.4095736</v>
      </c>
      <c r="N67" s="482">
        <f t="shared" si="83"/>
        <v>7872559955.1191492</v>
      </c>
      <c r="O67" s="482">
        <f t="shared" si="83"/>
        <v>7749031835.8451471</v>
      </c>
      <c r="P67" s="482">
        <f t="shared" si="83"/>
        <v>7667052115.104352</v>
      </c>
      <c r="Q67" s="482">
        <f t="shared" si="83"/>
        <v>7620510781.1232958</v>
      </c>
      <c r="R67" s="482">
        <f t="shared" si="83"/>
        <v>7417626288.7672892</v>
      </c>
      <c r="S67" s="482">
        <f t="shared" si="83"/>
        <v>7569042409.8767872</v>
      </c>
      <c r="T67" s="482">
        <f t="shared" si="83"/>
        <v>7572135169.9393387</v>
      </c>
      <c r="U67" s="482">
        <f t="shared" si="83"/>
        <v>6959126650.0563374</v>
      </c>
      <c r="V67" s="482">
        <f t="shared" si="83"/>
        <v>7535247135.5553856</v>
      </c>
      <c r="W67" s="482">
        <f t="shared" si="83"/>
        <v>6723679504.4469891</v>
      </c>
      <c r="X67" s="482">
        <f t="shared" si="83"/>
        <v>6822542405.1368351</v>
      </c>
      <c r="Y67" s="482">
        <f t="shared" si="83"/>
        <v>6325589962.2427578</v>
      </c>
      <c r="Z67" s="482">
        <f t="shared" si="83"/>
        <v>6712338583.777544</v>
      </c>
      <c r="AA67" s="482">
        <f t="shared" si="83"/>
        <v>6533448320.5379515</v>
      </c>
      <c r="AB67" s="482">
        <f t="shared" si="83"/>
        <v>6818708439.6576557</v>
      </c>
      <c r="AC67" s="482">
        <f t="shared" si="83"/>
        <v>6415950776.5629292</v>
      </c>
      <c r="AD67" s="482">
        <f t="shared" si="83"/>
        <v>6421884914.6811438</v>
      </c>
      <c r="AE67" s="482">
        <f t="shared" si="83"/>
        <v>5750546873.5596094</v>
      </c>
      <c r="AF67" s="482">
        <f t="shared" si="83"/>
        <v>6691880475.0908833</v>
      </c>
      <c r="AG67" s="482">
        <f t="shared" si="83"/>
        <v>6833979944.8276949</v>
      </c>
      <c r="AH67" s="482">
        <f t="shared" si="83"/>
        <v>7926528916.8134546</v>
      </c>
      <c r="AI67" s="482">
        <f t="shared" si="83"/>
        <v>8082902409.5445356</v>
      </c>
      <c r="AJ67" s="482">
        <f t="shared" si="83"/>
        <v>8344705497.0000553</v>
      </c>
      <c r="AK67" s="482">
        <f t="shared" si="83"/>
        <v>8529209984.9009743</v>
      </c>
      <c r="AL67" s="482">
        <f t="shared" si="83"/>
        <v>7710851518.6344233</v>
      </c>
      <c r="AM67" s="482">
        <f t="shared" si="83"/>
        <v>7390691885.7012081</v>
      </c>
      <c r="AN67" s="482">
        <f t="shared" si="83"/>
        <v>7481186378.56635</v>
      </c>
      <c r="AO67" s="482">
        <f t="shared" si="83"/>
        <v>7052702570.2185497</v>
      </c>
      <c r="AP67" s="482">
        <f t="shared" si="83"/>
        <v>6804494289.3490601</v>
      </c>
      <c r="AQ67" s="482">
        <f t="shared" si="83"/>
        <v>9446216209.4135857</v>
      </c>
      <c r="AR67" s="482">
        <f t="shared" si="83"/>
        <v>9204250830.9483738</v>
      </c>
      <c r="AS67" s="482">
        <f t="shared" si="83"/>
        <v>9145054478.2707138</v>
      </c>
      <c r="AT67" s="482">
        <f t="shared" si="83"/>
        <v>9107480584.6629963</v>
      </c>
      <c r="AU67" s="319">
        <f t="shared" si="83"/>
        <v>8862029186.176342</v>
      </c>
      <c r="AV67" s="319">
        <f t="shared" si="83"/>
        <v>9429588447.3550053</v>
      </c>
      <c r="AW67" s="319">
        <f t="shared" si="83"/>
        <v>9468709525.2344379</v>
      </c>
      <c r="AX67" s="319">
        <f t="shared" si="83"/>
        <v>9379497048.9122753</v>
      </c>
      <c r="AY67" s="319">
        <f t="shared" si="83"/>
        <v>10397881763.820631</v>
      </c>
      <c r="AZ67" s="319">
        <f t="shared" si="83"/>
        <v>10994005754.953878</v>
      </c>
      <c r="BA67" s="319">
        <f t="shared" si="83"/>
        <v>11322925512.94882</v>
      </c>
      <c r="BB67" s="319">
        <f t="shared" si="83"/>
        <v>11730645575.27145</v>
      </c>
      <c r="BC67" s="319">
        <f t="shared" si="83"/>
        <v>10601165694.28334</v>
      </c>
      <c r="BD67" s="319">
        <f t="shared" si="83"/>
        <v>8776268292.9768314</v>
      </c>
      <c r="BE67" s="319">
        <f t="shared" si="83"/>
        <v>7992383787.9726658</v>
      </c>
      <c r="BF67" s="319">
        <f t="shared" si="83"/>
        <v>8071829467.9939137</v>
      </c>
      <c r="BG67" s="319">
        <f t="shared" si="83"/>
        <v>8453286314.5340919</v>
      </c>
      <c r="BH67" s="319">
        <f t="shared" si="83"/>
        <v>8634770618.4979877</v>
      </c>
      <c r="BI67" s="319">
        <f t="shared" si="83"/>
        <v>9009493891.2513542</v>
      </c>
      <c r="BJ67" s="319">
        <f t="shared" si="83"/>
        <v>8968482392.0042019</v>
      </c>
      <c r="BK67" s="319">
        <f t="shared" si="83"/>
        <v>8136147819.3030605</v>
      </c>
      <c r="BL67" s="319">
        <f t="shared" si="83"/>
        <v>8233266376.0083513</v>
      </c>
      <c r="BM67" s="319">
        <f t="shared" si="83"/>
        <v>8087854932.2141371</v>
      </c>
      <c r="BN67" s="319">
        <f t="shared" si="83"/>
        <v>8042913009.1639385</v>
      </c>
      <c r="BO67" s="319">
        <f t="shared" si="83"/>
        <v>8374759234.9779091</v>
      </c>
      <c r="BP67" s="319">
        <f t="shared" si="83"/>
        <v>8400154147.105607</v>
      </c>
      <c r="BQ67" s="319">
        <f t="shared" si="83"/>
        <v>8785463277.767704</v>
      </c>
      <c r="BR67" s="319">
        <f t="shared" si="83"/>
        <v>8971751179.1223717</v>
      </c>
      <c r="BS67" s="319">
        <f t="shared" ref="BS67:CL67" si="84">BS46+BS47+BS48+BS49+BS65+BS66</f>
        <v>8474338685.4153709</v>
      </c>
      <c r="BT67" s="319">
        <f t="shared" si="84"/>
        <v>7028857525.274929</v>
      </c>
      <c r="BU67" s="319">
        <f t="shared" si="84"/>
        <v>8058378986.6598759</v>
      </c>
      <c r="BV67" s="319">
        <f t="shared" si="84"/>
        <v>7876907676.7733517</v>
      </c>
      <c r="BW67" s="319">
        <f t="shared" si="84"/>
        <v>8156466368.17381</v>
      </c>
      <c r="BX67" s="319">
        <f t="shared" si="84"/>
        <v>7106061019.4426403</v>
      </c>
      <c r="BY67" s="319">
        <f t="shared" si="84"/>
        <v>7236789812.2279396</v>
      </c>
      <c r="BZ67" s="319">
        <f t="shared" si="84"/>
        <v>7251878842.3475256</v>
      </c>
      <c r="CA67" s="319">
        <f t="shared" si="84"/>
        <v>6617310181.8473549</v>
      </c>
      <c r="CB67" s="319">
        <f t="shared" si="84"/>
        <v>7170051842.1084614</v>
      </c>
      <c r="CC67" s="319">
        <f t="shared" si="84"/>
        <v>7740530590.1768417</v>
      </c>
      <c r="CD67" s="319">
        <f t="shared" si="84"/>
        <v>8387956035.4720774</v>
      </c>
      <c r="CE67" s="319">
        <f t="shared" si="84"/>
        <v>9028261083.2001991</v>
      </c>
      <c r="CF67" s="319">
        <f t="shared" si="84"/>
        <v>9254945767.5654659</v>
      </c>
      <c r="CG67" s="319">
        <f t="shared" si="84"/>
        <v>8803385182.3528957</v>
      </c>
      <c r="CH67" s="319">
        <f t="shared" si="84"/>
        <v>8826952902.0936127</v>
      </c>
      <c r="CI67" s="319">
        <f t="shared" si="84"/>
        <v>9293549565.0132713</v>
      </c>
      <c r="CJ67" s="319">
        <f t="shared" si="84"/>
        <v>9934193967.2315502</v>
      </c>
      <c r="CK67" s="319">
        <f t="shared" si="84"/>
        <v>9901593002.0527363</v>
      </c>
      <c r="CL67" s="319">
        <f t="shared" si="84"/>
        <v>10083317224.272701</v>
      </c>
      <c r="CM67" s="319">
        <f t="shared" si="27"/>
        <v>8205332092.3528118</v>
      </c>
      <c r="CN67" s="58"/>
      <c r="CO67" s="58"/>
      <c r="CP67" s="58"/>
      <c r="CQ67" s="58"/>
      <c r="CR67" s="58"/>
      <c r="CS67" s="58"/>
      <c r="CT67" s="58"/>
      <c r="CU67" s="58"/>
      <c r="CV67" s="58"/>
      <c r="CW67" s="58"/>
      <c r="CX67" s="58"/>
      <c r="CY67" s="58"/>
      <c r="CZ67" s="58"/>
      <c r="DA67" s="58"/>
      <c r="DB67" s="58"/>
      <c r="DC67" s="58"/>
      <c r="DD67" s="58"/>
      <c r="DE67" s="58"/>
      <c r="DF67" s="58"/>
      <c r="DG67" s="58"/>
      <c r="DH67" s="58"/>
      <c r="DI67" s="58"/>
      <c r="DJ67" s="58"/>
      <c r="DK67" s="58"/>
      <c r="DL67" s="58"/>
      <c r="DM67" s="58"/>
      <c r="DN67" s="58"/>
      <c r="DO67" s="58"/>
      <c r="DP67" s="58"/>
      <c r="DQ67" s="58"/>
      <c r="DR67" s="58"/>
      <c r="DS67" s="58"/>
      <c r="DT67" s="58"/>
      <c r="DU67" s="58"/>
      <c r="DV67" s="58"/>
      <c r="DW67" s="58"/>
      <c r="DX67" s="58"/>
      <c r="DY67" s="58"/>
      <c r="DZ67" s="58"/>
      <c r="EA67" s="58"/>
      <c r="EB67" s="58"/>
      <c r="EC67" s="58"/>
      <c r="ED67" s="58"/>
      <c r="EE67" s="58"/>
      <c r="EF67" s="58"/>
      <c r="EG67" s="58"/>
      <c r="EH67" s="58"/>
      <c r="EI67" s="58"/>
      <c r="EJ67" s="58"/>
      <c r="EK67" s="58"/>
      <c r="EL67" s="58"/>
      <c r="EM67" s="58"/>
      <c r="EN67" s="58"/>
      <c r="EO67" s="58"/>
      <c r="EP67" s="58"/>
      <c r="EQ67" s="58"/>
      <c r="ER67" s="58"/>
      <c r="ES67" s="58"/>
      <c r="ET67" s="58"/>
      <c r="EU67" s="58"/>
      <c r="EV67" s="58"/>
      <c r="EW67" s="58"/>
      <c r="EX67" s="58"/>
      <c r="EY67" s="58"/>
      <c r="EZ67" s="58"/>
      <c r="FA67" s="58"/>
      <c r="FB67" s="58"/>
      <c r="FC67" s="58"/>
      <c r="FD67" s="58"/>
      <c r="FE67" s="58"/>
      <c r="FF67" s="58"/>
      <c r="FG67" s="58"/>
      <c r="FH67" s="58"/>
      <c r="FI67" s="58"/>
      <c r="FJ67" s="58"/>
      <c r="FK67" s="58"/>
      <c r="FL67" s="58"/>
      <c r="FM67" s="58"/>
      <c r="FN67" s="58"/>
      <c r="FO67" s="58"/>
      <c r="FP67" s="58"/>
      <c r="FQ67" s="58"/>
      <c r="FR67" s="58"/>
      <c r="FS67" s="58"/>
      <c r="FT67" s="58"/>
      <c r="FU67" s="58"/>
      <c r="FV67" s="58"/>
    </row>
    <row r="68" spans="1:178" ht="63.75" customHeight="1">
      <c r="A68" s="1055"/>
      <c r="B68" s="1055"/>
      <c r="C68" s="1055"/>
      <c r="D68" s="1055"/>
      <c r="E68" s="1056"/>
      <c r="F68" s="420" t="s">
        <v>193</v>
      </c>
      <c r="G68" s="621">
        <f t="shared" ref="G68:BR68" si="85">G67-G54-G55</f>
        <v>6377442120.235322</v>
      </c>
      <c r="H68" s="621">
        <f t="shared" si="85"/>
        <v>6343320590.6749554</v>
      </c>
      <c r="I68" s="621">
        <f t="shared" si="85"/>
        <v>5644853076.1329288</v>
      </c>
      <c r="J68" s="621">
        <f t="shared" si="85"/>
        <v>5442569461.0365992</v>
      </c>
      <c r="K68" s="621">
        <f t="shared" si="85"/>
        <v>5457071939.9682932</v>
      </c>
      <c r="L68" s="621">
        <f t="shared" si="85"/>
        <v>5563742613.4487553</v>
      </c>
      <c r="M68" s="621">
        <f t="shared" si="85"/>
        <v>5510692540.2991962</v>
      </c>
      <c r="N68" s="621">
        <f t="shared" si="85"/>
        <v>5413866302.914896</v>
      </c>
      <c r="O68" s="621">
        <f t="shared" si="85"/>
        <v>5378221137.6641426</v>
      </c>
      <c r="P68" s="621">
        <f t="shared" si="85"/>
        <v>5271472483.5938721</v>
      </c>
      <c r="Q68" s="621">
        <f t="shared" si="85"/>
        <v>5269504478.3204069</v>
      </c>
      <c r="R68" s="621">
        <f t="shared" si="85"/>
        <v>5167121230.7767906</v>
      </c>
      <c r="S68" s="621">
        <f t="shared" si="85"/>
        <v>5286259462.9049597</v>
      </c>
      <c r="T68" s="621">
        <f t="shared" si="85"/>
        <v>5290758642.0496817</v>
      </c>
      <c r="U68" s="621">
        <f t="shared" si="85"/>
        <v>4857073979.144598</v>
      </c>
      <c r="V68" s="621">
        <f t="shared" si="85"/>
        <v>5305331402.7464437</v>
      </c>
      <c r="W68" s="621">
        <f t="shared" si="85"/>
        <v>4739389608.8142853</v>
      </c>
      <c r="X68" s="621">
        <f t="shared" si="85"/>
        <v>4790195636.5018635</v>
      </c>
      <c r="Y68" s="621">
        <f t="shared" si="85"/>
        <v>4239761595.6704102</v>
      </c>
      <c r="Z68" s="621">
        <f t="shared" si="85"/>
        <v>4592925957.4583817</v>
      </c>
      <c r="AA68" s="621">
        <f t="shared" si="85"/>
        <v>4418389114.9091997</v>
      </c>
      <c r="AB68" s="621">
        <f t="shared" si="85"/>
        <v>4620305843.1318216</v>
      </c>
      <c r="AC68" s="621">
        <f t="shared" si="85"/>
        <v>4305342587.3455067</v>
      </c>
      <c r="AD68" s="621">
        <f t="shared" si="85"/>
        <v>4339361942.3874664</v>
      </c>
      <c r="AE68" s="621">
        <f t="shared" si="85"/>
        <v>3744539099.4479299</v>
      </c>
      <c r="AF68" s="621">
        <f t="shared" si="85"/>
        <v>4574689255.6875086</v>
      </c>
      <c r="AG68" s="621">
        <f t="shared" si="85"/>
        <v>4642245916.5458374</v>
      </c>
      <c r="AH68" s="621">
        <f t="shared" si="85"/>
        <v>5523639727.5158491</v>
      </c>
      <c r="AI68" s="621">
        <f t="shared" si="85"/>
        <v>5584577445.2363806</v>
      </c>
      <c r="AJ68" s="621">
        <f t="shared" si="85"/>
        <v>5884025060.2346983</v>
      </c>
      <c r="AK68" s="621">
        <f t="shared" si="85"/>
        <v>5956821408.9082155</v>
      </c>
      <c r="AL68" s="621">
        <f t="shared" si="85"/>
        <v>5277175581.7688093</v>
      </c>
      <c r="AM68" s="621">
        <f t="shared" si="85"/>
        <v>5035940138.243578</v>
      </c>
      <c r="AN68" s="621">
        <f t="shared" si="85"/>
        <v>5099403566.3534117</v>
      </c>
      <c r="AO68" s="621">
        <f t="shared" si="85"/>
        <v>4737466683.7934093</v>
      </c>
      <c r="AP68" s="621">
        <f t="shared" si="85"/>
        <v>4553513657.6354246</v>
      </c>
      <c r="AQ68" s="621">
        <f t="shared" si="85"/>
        <v>6834668906.1910143</v>
      </c>
      <c r="AR68" s="621">
        <f t="shared" si="85"/>
        <v>6706346258.4124403</v>
      </c>
      <c r="AS68" s="621">
        <f t="shared" si="85"/>
        <v>6588996243.5717249</v>
      </c>
      <c r="AT68" s="621">
        <f t="shared" si="85"/>
        <v>6490545335.8296671</v>
      </c>
      <c r="AU68" s="419">
        <f t="shared" si="85"/>
        <v>6204174681.3869762</v>
      </c>
      <c r="AV68" s="419">
        <f t="shared" si="85"/>
        <v>6690650951.1068563</v>
      </c>
      <c r="AW68" s="419">
        <f t="shared" si="85"/>
        <v>6676949910.0715532</v>
      </c>
      <c r="AX68" s="419">
        <f t="shared" si="85"/>
        <v>6492043293.5403624</v>
      </c>
      <c r="AY68" s="419">
        <f t="shared" si="85"/>
        <v>7164117673.0025702</v>
      </c>
      <c r="AZ68" s="419">
        <f t="shared" si="85"/>
        <v>7725796494.8346653</v>
      </c>
      <c r="BA68" s="419">
        <f t="shared" si="85"/>
        <v>8015130992.1323729</v>
      </c>
      <c r="BB68" s="419">
        <f t="shared" si="85"/>
        <v>8236902805.6955376</v>
      </c>
      <c r="BC68" s="419">
        <f t="shared" si="85"/>
        <v>7157634085.4635973</v>
      </c>
      <c r="BD68" s="419">
        <f t="shared" si="85"/>
        <v>5839781511.4978275</v>
      </c>
      <c r="BE68" s="419">
        <f t="shared" si="85"/>
        <v>5497148504.8743811</v>
      </c>
      <c r="BF68" s="419">
        <f t="shared" si="85"/>
        <v>5677449696.7161798</v>
      </c>
      <c r="BG68" s="419">
        <f t="shared" si="85"/>
        <v>5991009018.7482243</v>
      </c>
      <c r="BH68" s="419">
        <f t="shared" si="85"/>
        <v>6086158439.8242044</v>
      </c>
      <c r="BI68" s="419">
        <f t="shared" si="85"/>
        <v>6409161053.3153152</v>
      </c>
      <c r="BJ68" s="419">
        <f t="shared" si="85"/>
        <v>6399804374.6148443</v>
      </c>
      <c r="BK68" s="419">
        <f t="shared" si="85"/>
        <v>5693535446.5705919</v>
      </c>
      <c r="BL68" s="419">
        <f t="shared" si="85"/>
        <v>5803228405.1698189</v>
      </c>
      <c r="BM68" s="419">
        <f t="shared" si="85"/>
        <v>5611080947.0884104</v>
      </c>
      <c r="BN68" s="419">
        <f t="shared" si="85"/>
        <v>5513905445.9221773</v>
      </c>
      <c r="BO68" s="419">
        <f t="shared" si="85"/>
        <v>5688432722.6769304</v>
      </c>
      <c r="BP68" s="419">
        <f t="shared" si="85"/>
        <v>5797686733.5094166</v>
      </c>
      <c r="BQ68" s="419">
        <f t="shared" si="85"/>
        <v>6296273899.4799471</v>
      </c>
      <c r="BR68" s="419">
        <f t="shared" si="85"/>
        <v>6328614686.5444202</v>
      </c>
      <c r="BS68" s="419">
        <f t="shared" ref="BS68:CL68" si="86">BS67-BS54-BS55</f>
        <v>5913642523.2632132</v>
      </c>
      <c r="BT68" s="419">
        <f t="shared" si="86"/>
        <v>4858131697.6682272</v>
      </c>
      <c r="BU68" s="419">
        <f t="shared" si="86"/>
        <v>6024768755.5180893</v>
      </c>
      <c r="BV68" s="419">
        <f t="shared" si="86"/>
        <v>6282922122.1018333</v>
      </c>
      <c r="BW68" s="419">
        <f t="shared" si="86"/>
        <v>6433825084.2886171</v>
      </c>
      <c r="BX68" s="419">
        <f t="shared" si="86"/>
        <v>5385552779.7770433</v>
      </c>
      <c r="BY68" s="419">
        <f t="shared" si="86"/>
        <v>5426792393.912714</v>
      </c>
      <c r="BZ68" s="419">
        <f t="shared" si="86"/>
        <v>5342420814.3865919</v>
      </c>
      <c r="CA68" s="419">
        <f t="shared" si="86"/>
        <v>4715700482.3784533</v>
      </c>
      <c r="CB68" s="419">
        <f t="shared" si="86"/>
        <v>5022100550.7467918</v>
      </c>
      <c r="CC68" s="419">
        <f t="shared" si="86"/>
        <v>5239314656.3772154</v>
      </c>
      <c r="CD68" s="419">
        <f t="shared" si="86"/>
        <v>5741073119.1956968</v>
      </c>
      <c r="CE68" s="419">
        <f t="shared" si="86"/>
        <v>6450939136.0173559</v>
      </c>
      <c r="CF68" s="419">
        <f t="shared" si="86"/>
        <v>6513196414.4155445</v>
      </c>
      <c r="CG68" s="419">
        <f t="shared" si="86"/>
        <v>5857480865.7958689</v>
      </c>
      <c r="CH68" s="419">
        <f t="shared" si="86"/>
        <v>5912289034.3916388</v>
      </c>
      <c r="CI68" s="419">
        <f t="shared" si="86"/>
        <v>6214490073.2382565</v>
      </c>
      <c r="CJ68" s="419">
        <f t="shared" si="86"/>
        <v>6607037838.9468689</v>
      </c>
      <c r="CK68" s="419">
        <f t="shared" si="86"/>
        <v>6320258910.7052202</v>
      </c>
      <c r="CL68" s="419">
        <f t="shared" si="86"/>
        <v>6487923992.3566751</v>
      </c>
      <c r="CM68" s="419">
        <f t="shared" si="27"/>
        <v>5721501203.0092354</v>
      </c>
      <c r="CN68" s="58"/>
      <c r="CO68" s="58"/>
      <c r="CP68" s="58"/>
      <c r="CQ68" s="58"/>
      <c r="CR68" s="58"/>
      <c r="CS68" s="58"/>
      <c r="CT68" s="58"/>
      <c r="CU68" s="58"/>
      <c r="CV68" s="58"/>
      <c r="CW68" s="58"/>
      <c r="CX68" s="58"/>
      <c r="CY68" s="58"/>
      <c r="CZ68" s="58"/>
      <c r="DA68" s="58"/>
      <c r="DB68" s="58"/>
      <c r="DC68" s="58"/>
      <c r="DD68" s="58"/>
      <c r="DE68" s="58"/>
      <c r="DF68" s="58"/>
      <c r="DG68" s="58"/>
      <c r="DH68" s="58"/>
      <c r="DI68" s="58"/>
      <c r="DJ68" s="58"/>
      <c r="DK68" s="58"/>
      <c r="DL68" s="58"/>
      <c r="DM68" s="58"/>
      <c r="DN68" s="58"/>
      <c r="DO68" s="58"/>
      <c r="DP68" s="58"/>
      <c r="DQ68" s="58"/>
      <c r="DR68" s="58"/>
      <c r="DS68" s="58"/>
      <c r="DT68" s="58"/>
      <c r="DU68" s="58"/>
      <c r="DV68" s="58"/>
      <c r="DW68" s="58"/>
      <c r="DX68" s="58"/>
      <c r="DY68" s="58"/>
      <c r="DZ68" s="58"/>
      <c r="EA68" s="58"/>
      <c r="EB68" s="58"/>
      <c r="EC68" s="58"/>
      <c r="ED68" s="58"/>
      <c r="EE68" s="58"/>
      <c r="EF68" s="58"/>
      <c r="EG68" s="58"/>
      <c r="EH68" s="58"/>
      <c r="EI68" s="58"/>
      <c r="EJ68" s="58"/>
      <c r="EK68" s="58"/>
      <c r="EL68" s="58"/>
      <c r="EM68" s="58"/>
      <c r="EN68" s="58"/>
      <c r="EO68" s="58"/>
      <c r="EP68" s="58"/>
      <c r="EQ68" s="58"/>
      <c r="ER68" s="58"/>
      <c r="ES68" s="58"/>
      <c r="ET68" s="58"/>
      <c r="EU68" s="58"/>
      <c r="EV68" s="58"/>
      <c r="EW68" s="58"/>
      <c r="EX68" s="58"/>
      <c r="EY68" s="58"/>
      <c r="EZ68" s="58"/>
      <c r="FA68" s="58"/>
      <c r="FB68" s="58"/>
      <c r="FC68" s="58"/>
      <c r="FD68" s="58"/>
      <c r="FE68" s="58"/>
      <c r="FF68" s="58"/>
      <c r="FG68" s="58"/>
      <c r="FH68" s="58"/>
      <c r="FI68" s="58"/>
      <c r="FJ68" s="58"/>
      <c r="FK68" s="58"/>
      <c r="FL68" s="58"/>
      <c r="FM68" s="58"/>
      <c r="FN68" s="58"/>
      <c r="FO68" s="58"/>
      <c r="FP68" s="58"/>
      <c r="FQ68" s="58"/>
      <c r="FR68" s="58"/>
      <c r="FS68" s="58"/>
      <c r="FT68" s="58"/>
      <c r="FU68" s="58"/>
      <c r="FV68" s="58"/>
    </row>
    <row r="69" spans="1:178">
      <c r="A69" s="58"/>
      <c r="B69" s="58"/>
      <c r="C69" s="58"/>
      <c r="D69" s="58"/>
      <c r="E69" s="58"/>
      <c r="F69" s="487" t="s">
        <v>347</v>
      </c>
      <c r="G69" s="488">
        <f t="shared" ref="G69:BR69" si="87">G68*G52/G16</f>
        <v>40852.185393371772</v>
      </c>
      <c r="H69" s="488">
        <f t="shared" si="87"/>
        <v>40493.83608805477</v>
      </c>
      <c r="I69" s="488">
        <f t="shared" si="87"/>
        <v>35593.834715441866</v>
      </c>
      <c r="J69" s="488">
        <f t="shared" si="87"/>
        <v>34158.322703220692</v>
      </c>
      <c r="K69" s="488">
        <f t="shared" si="87"/>
        <v>34347.619373748399</v>
      </c>
      <c r="L69" s="488">
        <f t="shared" si="87"/>
        <v>35025.934405567772</v>
      </c>
      <c r="M69" s="488">
        <f t="shared" si="87"/>
        <v>34657.886448951729</v>
      </c>
      <c r="N69" s="488">
        <f t="shared" si="87"/>
        <v>34032.74755232902</v>
      </c>
      <c r="O69" s="488">
        <f t="shared" si="87"/>
        <v>33808.85447646043</v>
      </c>
      <c r="P69" s="488">
        <f t="shared" si="87"/>
        <v>33128.478445467066</v>
      </c>
      <c r="Q69" s="488">
        <f t="shared" si="87"/>
        <v>33096.487888459116</v>
      </c>
      <c r="R69" s="488">
        <f t="shared" si="87"/>
        <v>32472.428704739825</v>
      </c>
      <c r="S69" s="488">
        <f t="shared" si="87"/>
        <v>33340.494471469858</v>
      </c>
      <c r="T69" s="488">
        <f t="shared" si="87"/>
        <v>33190.231878239902</v>
      </c>
      <c r="U69" s="488">
        <f t="shared" si="87"/>
        <v>30958.305265775623</v>
      </c>
      <c r="V69" s="488">
        <f t="shared" si="87"/>
        <v>34081.454115235632</v>
      </c>
      <c r="W69" s="488">
        <f t="shared" si="87"/>
        <v>31272.642024428354</v>
      </c>
      <c r="X69" s="488">
        <f t="shared" si="87"/>
        <v>30623.760925004281</v>
      </c>
      <c r="Y69" s="488">
        <f t="shared" si="87"/>
        <v>25560.50832543867</v>
      </c>
      <c r="Z69" s="488">
        <f t="shared" si="87"/>
        <v>27917.523158826996</v>
      </c>
      <c r="AA69" s="488">
        <f t="shared" si="87"/>
        <v>26814.404084181093</v>
      </c>
      <c r="AB69" s="488">
        <f t="shared" si="87"/>
        <v>27780.704683407632</v>
      </c>
      <c r="AC69" s="488">
        <f t="shared" si="87"/>
        <v>26759.982354573593</v>
      </c>
      <c r="AD69" s="488">
        <f t="shared" si="87"/>
        <v>26702.546927803662</v>
      </c>
      <c r="AE69" s="488">
        <f t="shared" si="87"/>
        <v>22769.144724672016</v>
      </c>
      <c r="AF69" s="488">
        <f t="shared" si="87"/>
        <v>28252.014791087509</v>
      </c>
      <c r="AG69" s="488">
        <f t="shared" si="87"/>
        <v>28552.288766112797</v>
      </c>
      <c r="AH69" s="488">
        <f t="shared" si="87"/>
        <v>33721.866887440294</v>
      </c>
      <c r="AI69" s="488">
        <f t="shared" si="87"/>
        <v>34382.255398321911</v>
      </c>
      <c r="AJ69" s="488">
        <f t="shared" si="87"/>
        <v>37256.123762727562</v>
      </c>
      <c r="AK69" s="488">
        <f t="shared" si="87"/>
        <v>37681.331325279039</v>
      </c>
      <c r="AL69" s="488">
        <f t="shared" si="87"/>
        <v>33200.301500888425</v>
      </c>
      <c r="AM69" s="488">
        <f t="shared" si="87"/>
        <v>31736.151619790926</v>
      </c>
      <c r="AN69" s="488">
        <f t="shared" si="87"/>
        <v>32296.775742965085</v>
      </c>
      <c r="AO69" s="488">
        <f t="shared" si="87"/>
        <v>28906.822966592121</v>
      </c>
      <c r="AP69" s="488">
        <f t="shared" si="87"/>
        <v>28587.624041177176</v>
      </c>
      <c r="AQ69" s="488">
        <f t="shared" si="87"/>
        <v>43642.672949772255</v>
      </c>
      <c r="AR69" s="488">
        <f t="shared" si="87"/>
        <v>43219.357036475674</v>
      </c>
      <c r="AS69" s="488">
        <f t="shared" si="87"/>
        <v>42803.554370406935</v>
      </c>
      <c r="AT69" s="488">
        <f t="shared" si="87"/>
        <v>41761.945064229352</v>
      </c>
      <c r="AU69" s="489">
        <f t="shared" si="87"/>
        <v>40318.320858597741</v>
      </c>
      <c r="AV69" s="489">
        <f t="shared" si="87"/>
        <v>44233.966059303355</v>
      </c>
      <c r="AW69" s="489">
        <f t="shared" si="87"/>
        <v>43828.388510900571</v>
      </c>
      <c r="AX69" s="489">
        <f t="shared" si="87"/>
        <v>40755.709551940636</v>
      </c>
      <c r="AY69" s="489">
        <f t="shared" si="87"/>
        <v>46748.868426839756</v>
      </c>
      <c r="AZ69" s="489">
        <f t="shared" si="87"/>
        <v>50917.922678154944</v>
      </c>
      <c r="BA69" s="489">
        <f t="shared" si="87"/>
        <v>52823.842716351319</v>
      </c>
      <c r="BB69" s="489">
        <f t="shared" si="87"/>
        <v>53873.412364001677</v>
      </c>
      <c r="BC69" s="489">
        <f t="shared" si="87"/>
        <v>43960.869881454702</v>
      </c>
      <c r="BD69" s="489">
        <f t="shared" si="87"/>
        <v>36630.060528626258</v>
      </c>
      <c r="BE69" s="489">
        <f t="shared" si="87"/>
        <v>35196.124069396581</v>
      </c>
      <c r="BF69" s="489">
        <f t="shared" si="87"/>
        <v>36417.069700498658</v>
      </c>
      <c r="BG69" s="489">
        <f t="shared" si="87"/>
        <v>37843.842321564509</v>
      </c>
      <c r="BH69" s="489">
        <f t="shared" si="87"/>
        <v>38217.490232354496</v>
      </c>
      <c r="BI69" s="489">
        <f t="shared" si="87"/>
        <v>40153.97949015208</v>
      </c>
      <c r="BJ69" s="489">
        <f t="shared" si="87"/>
        <v>40114.837042100735</v>
      </c>
      <c r="BK69" s="489">
        <f t="shared" si="87"/>
        <v>36617.123185498021</v>
      </c>
      <c r="BL69" s="489">
        <f t="shared" si="87"/>
        <v>37252.743909299992</v>
      </c>
      <c r="BM69" s="489">
        <f t="shared" si="87"/>
        <v>36364.902654529811</v>
      </c>
      <c r="BN69" s="489">
        <f t="shared" si="87"/>
        <v>35413.381020709065</v>
      </c>
      <c r="BO69" s="489">
        <f t="shared" si="87"/>
        <v>35846.80683614032</v>
      </c>
      <c r="BP69" s="489">
        <f t="shared" si="87"/>
        <v>36507.850370188513</v>
      </c>
      <c r="BQ69" s="489">
        <f t="shared" si="87"/>
        <v>39391.8851457524</v>
      </c>
      <c r="BR69" s="489">
        <f t="shared" si="87"/>
        <v>39608.7584062596</v>
      </c>
      <c r="BS69" s="489">
        <f t="shared" ref="BS69:CL69" si="88">BS68*BS52/BS16</f>
        <v>37558.828588572775</v>
      </c>
      <c r="BT69" s="489">
        <f t="shared" si="88"/>
        <v>32134.118882535015</v>
      </c>
      <c r="BU69" s="489">
        <f t="shared" si="88"/>
        <v>37226.367934206588</v>
      </c>
      <c r="BV69" s="489">
        <f t="shared" si="88"/>
        <v>39253.995521620389</v>
      </c>
      <c r="BW69" s="489">
        <f t="shared" si="88"/>
        <v>39882.085507305339</v>
      </c>
      <c r="BX69" s="489">
        <f t="shared" si="88"/>
        <v>34403.856547922951</v>
      </c>
      <c r="BY69" s="489">
        <f t="shared" si="88"/>
        <v>34711.383002583563</v>
      </c>
      <c r="BZ69" s="489">
        <f t="shared" si="88"/>
        <v>34465.660598846633</v>
      </c>
      <c r="CA69" s="489">
        <f t="shared" si="88"/>
        <v>30408.57303275686</v>
      </c>
      <c r="CB69" s="489">
        <f t="shared" si="88"/>
        <v>31586.276637944688</v>
      </c>
      <c r="CC69" s="489">
        <f t="shared" si="88"/>
        <v>32735.207930590946</v>
      </c>
      <c r="CD69" s="489">
        <f t="shared" si="88"/>
        <v>35151.642115522191</v>
      </c>
      <c r="CE69" s="489">
        <f t="shared" si="88"/>
        <v>39200.518920317641</v>
      </c>
      <c r="CF69" s="489">
        <f t="shared" si="88"/>
        <v>39359.371374194197</v>
      </c>
      <c r="CG69" s="489">
        <f t="shared" si="88"/>
        <v>35520.931524880689</v>
      </c>
      <c r="CH69" s="489">
        <f t="shared" si="88"/>
        <v>35813.486716283594</v>
      </c>
      <c r="CI69" s="489">
        <f t="shared" si="88"/>
        <v>37303.284289349984</v>
      </c>
      <c r="CJ69" s="489">
        <f t="shared" si="88"/>
        <v>39380.645224247171</v>
      </c>
      <c r="CK69" s="489">
        <f t="shared" si="88"/>
        <v>37622.90901479969</v>
      </c>
      <c r="CL69" s="489">
        <f t="shared" si="88"/>
        <v>38551.002951137016</v>
      </c>
      <c r="CM69" s="489">
        <f t="shared" si="27"/>
        <v>36032.734614694877</v>
      </c>
      <c r="CN69" s="58"/>
      <c r="CO69" s="58"/>
      <c r="CP69" s="58"/>
      <c r="CQ69" s="58"/>
      <c r="CR69" s="58"/>
      <c r="CS69" s="58"/>
      <c r="CT69" s="58"/>
      <c r="CU69" s="58"/>
      <c r="CV69" s="58"/>
      <c r="CW69" s="58"/>
      <c r="CX69" s="58"/>
      <c r="CY69" s="58"/>
      <c r="CZ69" s="58"/>
      <c r="DA69" s="58"/>
      <c r="DB69" s="58"/>
      <c r="DC69" s="58"/>
      <c r="DD69" s="58"/>
      <c r="DE69" s="58"/>
      <c r="DF69" s="58"/>
      <c r="DG69" s="58"/>
      <c r="DH69" s="58"/>
      <c r="DI69" s="58"/>
      <c r="DJ69" s="58"/>
      <c r="DK69" s="58"/>
      <c r="DL69" s="58"/>
      <c r="DM69" s="58"/>
      <c r="DN69" s="58"/>
      <c r="DO69" s="58"/>
      <c r="DP69" s="58"/>
      <c r="DQ69" s="58"/>
      <c r="DR69" s="58"/>
      <c r="DS69" s="58"/>
      <c r="DT69" s="58"/>
      <c r="DU69" s="58"/>
      <c r="DV69" s="58"/>
      <c r="DW69" s="58"/>
      <c r="DX69" s="58"/>
      <c r="DY69" s="58"/>
      <c r="DZ69" s="58"/>
      <c r="EA69" s="58"/>
      <c r="EB69" s="58"/>
      <c r="EC69" s="58"/>
      <c r="ED69" s="58"/>
      <c r="EE69" s="58"/>
      <c r="EF69" s="58"/>
      <c r="EG69" s="58"/>
      <c r="EH69" s="58"/>
      <c r="EI69" s="58"/>
      <c r="EJ69" s="58"/>
      <c r="EK69" s="58"/>
      <c r="EL69" s="58"/>
      <c r="EM69" s="58"/>
      <c r="EN69" s="58"/>
      <c r="EO69" s="58"/>
      <c r="EP69" s="58"/>
      <c r="EQ69" s="58"/>
      <c r="ER69" s="58"/>
      <c r="ES69" s="58"/>
      <c r="ET69" s="58"/>
      <c r="EU69" s="58"/>
      <c r="EV69" s="58"/>
      <c r="EW69" s="58"/>
      <c r="EX69" s="58"/>
      <c r="EY69" s="58"/>
      <c r="EZ69" s="58"/>
      <c r="FA69" s="58"/>
      <c r="FB69" s="58"/>
      <c r="FC69" s="58"/>
      <c r="FD69" s="58"/>
      <c r="FE69" s="58"/>
      <c r="FF69" s="58"/>
      <c r="FG69" s="58"/>
      <c r="FH69" s="58"/>
      <c r="FI69" s="58"/>
      <c r="FJ69" s="58"/>
      <c r="FK69" s="58"/>
      <c r="FL69" s="58"/>
      <c r="FM69" s="58"/>
      <c r="FN69" s="58"/>
      <c r="FO69" s="58"/>
      <c r="FP69" s="58"/>
      <c r="FQ69" s="58"/>
      <c r="FR69" s="58"/>
      <c r="FS69" s="58"/>
      <c r="FT69" s="58"/>
      <c r="FU69" s="58"/>
      <c r="FV69" s="58"/>
    </row>
    <row r="70" spans="1:178">
      <c r="A70" s="58"/>
      <c r="B70" s="58"/>
      <c r="C70" s="58"/>
      <c r="D70" s="58"/>
      <c r="E70" s="58"/>
      <c r="F70" s="487" t="s">
        <v>348</v>
      </c>
      <c r="G70" s="488">
        <f t="shared" ref="G70:BR70" si="89">G53*G68/G17</f>
        <v>59733.018824896943</v>
      </c>
      <c r="H70" s="488">
        <f t="shared" si="89"/>
        <v>59974.357098379769</v>
      </c>
      <c r="I70" s="488">
        <f t="shared" si="89"/>
        <v>55141.090725621725</v>
      </c>
      <c r="J70" s="488">
        <f t="shared" si="89"/>
        <v>53807.218193004832</v>
      </c>
      <c r="K70" s="488">
        <f t="shared" si="89"/>
        <v>53556.202048649182</v>
      </c>
      <c r="L70" s="488">
        <f t="shared" si="89"/>
        <v>54575.331374184687</v>
      </c>
      <c r="M70" s="488">
        <f t="shared" si="89"/>
        <v>54191.711123474597</v>
      </c>
      <c r="N70" s="488">
        <f t="shared" si="89"/>
        <v>53304.455649517433</v>
      </c>
      <c r="O70" s="488">
        <f t="shared" si="89"/>
        <v>52952.773191330758</v>
      </c>
      <c r="P70" s="488">
        <f t="shared" si="89"/>
        <v>51939.179791359209</v>
      </c>
      <c r="Q70" s="488">
        <f t="shared" si="89"/>
        <v>51998.536398627111</v>
      </c>
      <c r="R70" s="488">
        <f t="shared" si="89"/>
        <v>50912.047211512945</v>
      </c>
      <c r="S70" s="488">
        <f t="shared" si="89"/>
        <v>51606.967539389145</v>
      </c>
      <c r="T70" s="488">
        <f t="shared" si="89"/>
        <v>52367.781415552054</v>
      </c>
      <c r="U70" s="488">
        <f t="shared" si="89"/>
        <v>46114.059054586614</v>
      </c>
      <c r="V70" s="488">
        <f t="shared" si="89"/>
        <v>49302.353462113213</v>
      </c>
      <c r="W70" s="488">
        <f t="shared" si="89"/>
        <v>40725.065233977846</v>
      </c>
      <c r="X70" s="488">
        <f t="shared" si="89"/>
        <v>45110.988202239627</v>
      </c>
      <c r="Y70" s="488">
        <f t="shared" si="89"/>
        <v>46124.831395020847</v>
      </c>
      <c r="Z70" s="488">
        <f t="shared" si="89"/>
        <v>49052.481269054821</v>
      </c>
      <c r="AA70" s="488">
        <f t="shared" si="89"/>
        <v>47357.853652069651</v>
      </c>
      <c r="AB70" s="488">
        <f t="shared" si="89"/>
        <v>50561.836868214486</v>
      </c>
      <c r="AC70" s="488">
        <f t="shared" si="89"/>
        <v>43611.376485232875</v>
      </c>
      <c r="AD70" s="488">
        <f t="shared" si="89"/>
        <v>45035.028100807373</v>
      </c>
      <c r="AE70" s="488">
        <f t="shared" si="89"/>
        <v>39957.855661515903</v>
      </c>
      <c r="AF70" s="488">
        <f t="shared" si="89"/>
        <v>47070.527799338794</v>
      </c>
      <c r="AG70" s="488">
        <f t="shared" si="89"/>
        <v>48234.918668211052</v>
      </c>
      <c r="AH70" s="488">
        <f t="shared" si="89"/>
        <v>58402.119704346922</v>
      </c>
      <c r="AI70" s="488">
        <f t="shared" si="89"/>
        <v>57889.199672305986</v>
      </c>
      <c r="AJ70" s="488">
        <f t="shared" si="89"/>
        <v>56858.675010085899</v>
      </c>
      <c r="AK70" s="488">
        <f t="shared" si="89"/>
        <v>57705.469899769829</v>
      </c>
      <c r="AL70" s="488">
        <f t="shared" si="89"/>
        <v>51850.973292046248</v>
      </c>
      <c r="AM70" s="488">
        <f t="shared" si="89"/>
        <v>49265.870948116128</v>
      </c>
      <c r="AN70" s="488">
        <f t="shared" si="89"/>
        <v>49241.89655792361</v>
      </c>
      <c r="AO70" s="488">
        <f t="shared" si="89"/>
        <v>50151.821294213951</v>
      </c>
      <c r="AP70" s="488">
        <f t="shared" si="89"/>
        <v>44981.013483021372</v>
      </c>
      <c r="AQ70" s="488">
        <f t="shared" si="89"/>
        <v>64570.888473722429</v>
      </c>
      <c r="AR70" s="488">
        <f t="shared" si="89"/>
        <v>61769.031053388135</v>
      </c>
      <c r="AS70" s="488">
        <f t="shared" si="89"/>
        <v>59321.865067580344</v>
      </c>
      <c r="AT70" s="488">
        <f t="shared" si="89"/>
        <v>60048.952731616002</v>
      </c>
      <c r="AU70" s="489">
        <f t="shared" si="89"/>
        <v>55798.454330304812</v>
      </c>
      <c r="AV70" s="489">
        <f t="shared" si="89"/>
        <v>57146.852738869973</v>
      </c>
      <c r="AW70" s="489">
        <f t="shared" si="89"/>
        <v>58293.928090931389</v>
      </c>
      <c r="AX70" s="489">
        <f t="shared" si="89"/>
        <v>64139.584600669157</v>
      </c>
      <c r="AY70" s="489">
        <f t="shared" si="89"/>
        <v>63660.24767435751</v>
      </c>
      <c r="AZ70" s="489">
        <f t="shared" si="89"/>
        <v>66629.273173344336</v>
      </c>
      <c r="BA70" s="489">
        <f t="shared" si="89"/>
        <v>69128.496514881845</v>
      </c>
      <c r="BB70" s="489">
        <f t="shared" si="89"/>
        <v>72694.691617502322</v>
      </c>
      <c r="BC70" s="489">
        <f t="shared" si="89"/>
        <v>74621.283893832879</v>
      </c>
      <c r="BD70" s="489">
        <f t="shared" si="89"/>
        <v>57819.359068885366</v>
      </c>
      <c r="BE70" s="489">
        <f t="shared" si="89"/>
        <v>51556.696295290087</v>
      </c>
      <c r="BF70" s="489">
        <f t="shared" si="89"/>
        <v>52980.650376636389</v>
      </c>
      <c r="BG70" s="489">
        <f t="shared" si="89"/>
        <v>58252.362201409887</v>
      </c>
      <c r="BH70" s="489">
        <f t="shared" si="89"/>
        <v>60090.05783920391</v>
      </c>
      <c r="BI70" s="489">
        <f t="shared" si="89"/>
        <v>63647.444961155117</v>
      </c>
      <c r="BJ70" s="489">
        <f t="shared" si="89"/>
        <v>63476.360025006419</v>
      </c>
      <c r="BK70" s="489">
        <f t="shared" si="89"/>
        <v>52741.996361898542</v>
      </c>
      <c r="BL70" s="489">
        <f t="shared" si="89"/>
        <v>54038.461416424929</v>
      </c>
      <c r="BM70" s="489">
        <f t="shared" si="89"/>
        <v>50862.252458216644</v>
      </c>
      <c r="BN70" s="489">
        <f t="shared" si="89"/>
        <v>51272.544213382651</v>
      </c>
      <c r="BO70" s="489">
        <f t="shared" si="89"/>
        <v>55654.362605728478</v>
      </c>
      <c r="BP70" s="489">
        <f t="shared" si="89"/>
        <v>56833.408936080741</v>
      </c>
      <c r="BQ70" s="489">
        <f t="shared" si="89"/>
        <v>62746.497609644895</v>
      </c>
      <c r="BR70" s="489">
        <f t="shared" si="89"/>
        <v>63010.456785257426</v>
      </c>
      <c r="BS70" s="489">
        <f t="shared" ref="BS70:CL70" si="90">BS53*BS68/BS17</f>
        <v>56682.671048669254</v>
      </c>
      <c r="BT70" s="489">
        <f t="shared" si="90"/>
        <v>41432.533402870686</v>
      </c>
      <c r="BU70" s="489">
        <f t="shared" si="90"/>
        <v>61914.384080651995</v>
      </c>
      <c r="BV70" s="489">
        <f t="shared" si="90"/>
        <v>62831.572151644265</v>
      </c>
      <c r="BW70" s="489">
        <f t="shared" si="90"/>
        <v>65603.615056317896</v>
      </c>
      <c r="BX70" s="489">
        <f t="shared" si="90"/>
        <v>50822.130248994639</v>
      </c>
      <c r="BY70" s="489">
        <f t="shared" si="90"/>
        <v>51034.399896012277</v>
      </c>
      <c r="BZ70" s="489">
        <f t="shared" si="90"/>
        <v>49061.340893641092</v>
      </c>
      <c r="CA70" s="489">
        <f t="shared" si="90"/>
        <v>43361.787443476154</v>
      </c>
      <c r="CB70" s="489">
        <f t="shared" si="90"/>
        <v>49381.93463508007</v>
      </c>
      <c r="CC70" s="489">
        <f t="shared" si="90"/>
        <v>52389.532178978894</v>
      </c>
      <c r="CD70" s="489">
        <f t="shared" si="90"/>
        <v>60290.361739252628</v>
      </c>
      <c r="CE70" s="489">
        <f t="shared" si="90"/>
        <v>68939.030144336779</v>
      </c>
      <c r="CF70" s="489">
        <f t="shared" si="90"/>
        <v>70485.090565352439</v>
      </c>
      <c r="CG70" s="489">
        <f t="shared" si="90"/>
        <v>62891.140575827871</v>
      </c>
      <c r="CH70" s="489">
        <f t="shared" si="90"/>
        <v>63639.380213827841</v>
      </c>
      <c r="CI70" s="489">
        <f t="shared" si="90"/>
        <v>68259.799943695252</v>
      </c>
      <c r="CJ70" s="489">
        <f t="shared" si="90"/>
        <v>73691.012858621762</v>
      </c>
      <c r="CK70" s="489">
        <f t="shared" si="90"/>
        <v>70686.748712559522</v>
      </c>
      <c r="CL70" s="489">
        <f t="shared" si="90"/>
        <v>72842.751614020191</v>
      </c>
      <c r="CM70" s="489">
        <f t="shared" si="27"/>
        <v>56068.030533556761</v>
      </c>
      <c r="CN70" s="58"/>
      <c r="CO70" s="58"/>
      <c r="CP70" s="58"/>
      <c r="CQ70" s="58"/>
      <c r="CR70" s="58"/>
      <c r="CS70" s="58"/>
      <c r="CT70" s="58"/>
      <c r="CU70" s="58"/>
      <c r="CV70" s="58"/>
      <c r="CW70" s="58"/>
      <c r="CX70" s="58"/>
      <c r="CY70" s="58"/>
      <c r="CZ70" s="58"/>
      <c r="DA70" s="58"/>
      <c r="DB70" s="58"/>
      <c r="DC70" s="58"/>
      <c r="DD70" s="58"/>
      <c r="DE70" s="58"/>
      <c r="DF70" s="58"/>
      <c r="DG70" s="58"/>
      <c r="DH70" s="58"/>
      <c r="DI70" s="58"/>
      <c r="DJ70" s="58"/>
      <c r="DK70" s="58"/>
      <c r="DL70" s="58"/>
      <c r="DM70" s="58"/>
      <c r="DN70" s="58"/>
      <c r="DO70" s="58"/>
      <c r="DP70" s="58"/>
      <c r="DQ70" s="58"/>
      <c r="DR70" s="58"/>
      <c r="DS70" s="58"/>
      <c r="DT70" s="58"/>
      <c r="DU70" s="58"/>
      <c r="DV70" s="58"/>
      <c r="DW70" s="58"/>
      <c r="DX70" s="58"/>
      <c r="DY70" s="58"/>
      <c r="DZ70" s="58"/>
      <c r="EA70" s="58"/>
      <c r="EB70" s="58"/>
      <c r="EC70" s="58"/>
      <c r="ED70" s="58"/>
      <c r="EE70" s="58"/>
      <c r="EF70" s="58"/>
      <c r="EG70" s="58"/>
      <c r="EH70" s="58"/>
      <c r="EI70" s="58"/>
      <c r="EJ70" s="58"/>
      <c r="EK70" s="58"/>
      <c r="EL70" s="58"/>
      <c r="EM70" s="58"/>
      <c r="EN70" s="58"/>
      <c r="EO70" s="58"/>
      <c r="EP70" s="58"/>
      <c r="EQ70" s="58"/>
      <c r="ER70" s="58"/>
      <c r="ES70" s="58"/>
      <c r="ET70" s="58"/>
      <c r="EU70" s="58"/>
      <c r="EV70" s="58"/>
      <c r="EW70" s="58"/>
      <c r="EX70" s="58"/>
      <c r="EY70" s="58"/>
      <c r="EZ70" s="58"/>
      <c r="FA70" s="58"/>
      <c r="FB70" s="58"/>
      <c r="FC70" s="58"/>
      <c r="FD70" s="58"/>
      <c r="FE70" s="58"/>
      <c r="FF70" s="58"/>
      <c r="FG70" s="58"/>
      <c r="FH70" s="58"/>
      <c r="FI70" s="58"/>
      <c r="FJ70" s="58"/>
      <c r="FK70" s="58"/>
      <c r="FL70" s="58"/>
      <c r="FM70" s="58"/>
      <c r="FN70" s="58"/>
      <c r="FO70" s="58"/>
      <c r="FP70" s="58"/>
      <c r="FQ70" s="58"/>
      <c r="FR70" s="58"/>
      <c r="FS70" s="58"/>
      <c r="FT70" s="58"/>
      <c r="FU70" s="58"/>
      <c r="FV70" s="58"/>
    </row>
    <row r="71" spans="1:178">
      <c r="F71" s="315"/>
      <c r="G71" s="315"/>
      <c r="H71" s="315"/>
      <c r="I71" s="315"/>
      <c r="J71" s="315"/>
      <c r="K71" s="315"/>
      <c r="L71" s="315"/>
      <c r="M71" s="315"/>
      <c r="N71" s="315"/>
      <c r="O71" s="315"/>
      <c r="P71" s="315"/>
      <c r="Q71" s="315"/>
      <c r="R71" s="315"/>
      <c r="S71" s="316"/>
      <c r="T71" s="316"/>
      <c r="U71" s="316"/>
      <c r="V71" s="316"/>
      <c r="W71" s="316"/>
      <c r="X71" s="316"/>
      <c r="Y71" s="316"/>
      <c r="Z71" s="316"/>
      <c r="AA71" s="316"/>
      <c r="AB71" s="316"/>
      <c r="AC71" s="316"/>
      <c r="AD71" s="316"/>
      <c r="AE71" s="316"/>
      <c r="AF71" s="316"/>
      <c r="AG71" s="316"/>
      <c r="AH71" s="316"/>
      <c r="AI71" s="316"/>
      <c r="AJ71" s="316"/>
      <c r="AK71" s="316"/>
      <c r="AL71" s="316"/>
      <c r="AM71" s="316"/>
      <c r="AN71" s="316"/>
      <c r="AO71" s="316"/>
      <c r="AP71" s="316"/>
      <c r="AQ71" s="316"/>
      <c r="AR71" s="316"/>
      <c r="AS71" s="316"/>
      <c r="AT71" s="317"/>
      <c r="AU71" s="318"/>
      <c r="AV71" s="318"/>
      <c r="AW71" s="318"/>
      <c r="AX71" s="318"/>
      <c r="AY71" s="318"/>
      <c r="AZ71" s="318"/>
      <c r="BA71" s="318"/>
      <c r="BB71" s="318"/>
      <c r="BC71" s="318"/>
      <c r="BD71" s="318"/>
      <c r="BE71" s="318"/>
      <c r="BF71" s="318"/>
      <c r="BG71" s="318"/>
      <c r="BH71" s="318"/>
      <c r="BI71" s="318"/>
      <c r="BJ71" s="318"/>
      <c r="BK71" s="318"/>
      <c r="BL71" s="318"/>
      <c r="BM71" s="318"/>
      <c r="BN71" s="318"/>
      <c r="BO71" s="318"/>
      <c r="BP71" s="318"/>
      <c r="BQ71" s="318"/>
      <c r="BR71" s="318"/>
      <c r="BS71" s="318"/>
      <c r="BT71" s="318"/>
      <c r="BU71" s="318"/>
      <c r="BV71" s="318"/>
      <c r="BW71" s="318"/>
      <c r="BX71" s="318"/>
      <c r="BY71" s="318"/>
      <c r="BZ71" s="318"/>
      <c r="CA71" s="318"/>
      <c r="CB71" s="318"/>
      <c r="CC71" s="318"/>
      <c r="CD71" s="318"/>
      <c r="CE71" s="318"/>
      <c r="CF71" s="318"/>
      <c r="CG71" s="318"/>
      <c r="CH71" s="318"/>
      <c r="CI71" s="318"/>
      <c r="CJ71" s="318"/>
      <c r="CK71" s="318"/>
      <c r="CL71" s="318"/>
      <c r="CM71" s="319"/>
    </row>
    <row r="72" spans="1:178">
      <c r="F72" s="320" t="s">
        <v>408</v>
      </c>
      <c r="G72" s="320"/>
      <c r="H72" s="320"/>
      <c r="I72" s="320"/>
      <c r="J72" s="320"/>
      <c r="K72" s="320"/>
      <c r="L72" s="320"/>
      <c r="M72" s="320"/>
      <c r="N72" s="320"/>
      <c r="O72" s="320"/>
      <c r="P72" s="320"/>
      <c r="Q72" s="320"/>
      <c r="R72" s="320"/>
      <c r="S72" s="321">
        <v>79308</v>
      </c>
      <c r="T72" s="321">
        <v>87844.5</v>
      </c>
      <c r="U72" s="321">
        <v>84301.2</v>
      </c>
      <c r="V72" s="321">
        <v>71658</v>
      </c>
      <c r="W72" s="321">
        <v>73467</v>
      </c>
      <c r="X72" s="321">
        <v>79317</v>
      </c>
      <c r="Y72" s="321">
        <v>83124</v>
      </c>
      <c r="Z72" s="321">
        <v>80424</v>
      </c>
      <c r="AA72" s="321">
        <v>78174</v>
      </c>
      <c r="AB72" s="321">
        <v>79992</v>
      </c>
      <c r="AC72" s="321">
        <v>80892</v>
      </c>
      <c r="AD72" s="321">
        <v>80892</v>
      </c>
      <c r="AE72" s="321">
        <v>79920</v>
      </c>
      <c r="AF72" s="321">
        <v>79920</v>
      </c>
      <c r="AG72" s="321">
        <v>79020</v>
      </c>
      <c r="AH72" s="321">
        <v>80838</v>
      </c>
      <c r="AI72" s="321">
        <v>80838</v>
      </c>
      <c r="AJ72" s="321">
        <v>81738</v>
      </c>
      <c r="AK72" s="321">
        <v>80838</v>
      </c>
      <c r="AL72" s="321">
        <v>80838</v>
      </c>
      <c r="AM72" s="321">
        <v>80838</v>
      </c>
      <c r="AN72" s="321">
        <v>80478</v>
      </c>
      <c r="AO72" s="321">
        <v>73638</v>
      </c>
      <c r="AP72" s="321">
        <v>73638</v>
      </c>
      <c r="AQ72" s="321">
        <v>73638</v>
      </c>
      <c r="AR72" s="321">
        <v>75069</v>
      </c>
      <c r="AS72" s="321">
        <v>74097</v>
      </c>
      <c r="AT72" s="322">
        <v>77120</v>
      </c>
      <c r="AU72" s="323">
        <v>78330</v>
      </c>
      <c r="AV72" s="323">
        <v>78330</v>
      </c>
      <c r="AW72" s="323">
        <v>79710</v>
      </c>
      <c r="AX72" s="323">
        <v>81840</v>
      </c>
      <c r="AY72" s="323">
        <v>82290</v>
      </c>
      <c r="AZ72" s="323">
        <v>81605</v>
      </c>
      <c r="BA72" s="323">
        <v>80450</v>
      </c>
      <c r="BB72" s="323">
        <v>82290</v>
      </c>
      <c r="BC72" s="323">
        <v>84860</v>
      </c>
      <c r="BD72" s="323">
        <v>82790</v>
      </c>
      <c r="BE72" s="323">
        <v>75410</v>
      </c>
      <c r="BF72" s="323">
        <v>75535</v>
      </c>
      <c r="BG72" s="323">
        <v>75515</v>
      </c>
      <c r="BH72" s="323">
        <v>76895</v>
      </c>
      <c r="BI72" s="323">
        <v>76895</v>
      </c>
      <c r="BJ72" s="323">
        <v>73118.75</v>
      </c>
      <c r="BK72" s="323">
        <v>69505.666666666672</v>
      </c>
      <c r="BL72" s="323">
        <v>68825</v>
      </c>
      <c r="BM72" s="323">
        <v>69518</v>
      </c>
      <c r="BN72" s="323">
        <v>66726.666666666672</v>
      </c>
      <c r="BO72" s="323">
        <v>68260</v>
      </c>
      <c r="BP72" s="323">
        <v>65340</v>
      </c>
      <c r="BQ72" s="323">
        <v>64110</v>
      </c>
      <c r="BR72" s="323">
        <v>65725</v>
      </c>
      <c r="BS72" s="323">
        <v>66420</v>
      </c>
      <c r="BT72" s="323">
        <v>66430</v>
      </c>
      <c r="BU72" s="323">
        <v>62745</v>
      </c>
      <c r="BV72" s="323">
        <v>59985</v>
      </c>
      <c r="BW72" s="323">
        <v>63743.333333333336</v>
      </c>
      <c r="BX72" s="323">
        <v>67265</v>
      </c>
      <c r="BY72" s="323">
        <v>67680</v>
      </c>
      <c r="BZ72" s="323">
        <v>68533.333333333328</v>
      </c>
      <c r="CA72" s="323">
        <v>71170</v>
      </c>
      <c r="CB72" s="323">
        <v>74566.666666666672</v>
      </c>
      <c r="CC72" s="323">
        <v>80425</v>
      </c>
      <c r="CD72" s="323">
        <v>79965</v>
      </c>
      <c r="CE72" s="323">
        <v>83513.333333333328</v>
      </c>
      <c r="CF72" s="323">
        <v>94750</v>
      </c>
      <c r="CG72" s="323">
        <v>97356.666666666672</v>
      </c>
      <c r="CH72" s="323">
        <v>88703.333333333328</v>
      </c>
      <c r="CI72" s="323">
        <v>85010</v>
      </c>
      <c r="CJ72" s="323">
        <v>87430</v>
      </c>
      <c r="CK72" s="323">
        <v>92103.333333333328</v>
      </c>
      <c r="CL72" s="323">
        <v>94270</v>
      </c>
      <c r="CM72" s="324">
        <f t="shared" si="27"/>
        <v>77330.538657407393</v>
      </c>
    </row>
    <row r="73" spans="1:178">
      <c r="F73" s="325" t="s">
        <v>409</v>
      </c>
      <c r="G73" s="325"/>
      <c r="H73" s="325"/>
      <c r="I73" s="325"/>
      <c r="J73" s="325"/>
      <c r="K73" s="325"/>
      <c r="L73" s="325"/>
      <c r="M73" s="325"/>
      <c r="N73" s="325"/>
      <c r="O73" s="325"/>
      <c r="P73" s="325"/>
      <c r="Q73" s="325"/>
      <c r="R73" s="325"/>
      <c r="S73" s="326">
        <v>81045</v>
      </c>
      <c r="T73" s="326">
        <v>88461.9</v>
      </c>
      <c r="U73" s="326">
        <v>84411.9</v>
      </c>
      <c r="V73" s="326">
        <v>73836</v>
      </c>
      <c r="W73" s="326">
        <v>75195</v>
      </c>
      <c r="X73" s="326">
        <v>78795</v>
      </c>
      <c r="Y73" s="326">
        <v>81990</v>
      </c>
      <c r="Z73" s="326">
        <v>80190</v>
      </c>
      <c r="AA73" s="326">
        <v>78840</v>
      </c>
      <c r="AB73" s="326">
        <v>80235</v>
      </c>
      <c r="AC73" s="326">
        <v>80235</v>
      </c>
      <c r="AD73" s="326">
        <v>80235</v>
      </c>
      <c r="AE73" s="326">
        <v>78345</v>
      </c>
      <c r="AF73" s="326">
        <v>78345</v>
      </c>
      <c r="AG73" s="326">
        <v>76545</v>
      </c>
      <c r="AH73" s="326">
        <v>78399</v>
      </c>
      <c r="AI73" s="326">
        <v>78399</v>
      </c>
      <c r="AJ73" s="326">
        <v>78399</v>
      </c>
      <c r="AK73" s="326">
        <v>77499</v>
      </c>
      <c r="AL73" s="326">
        <v>77499</v>
      </c>
      <c r="AM73" s="326">
        <v>77499</v>
      </c>
      <c r="AN73" s="326">
        <v>74799</v>
      </c>
      <c r="AO73" s="326">
        <v>71199</v>
      </c>
      <c r="AP73" s="326">
        <v>71199</v>
      </c>
      <c r="AQ73" s="326">
        <v>72549</v>
      </c>
      <c r="AR73" s="326">
        <v>73008</v>
      </c>
      <c r="AS73" s="326">
        <v>74358</v>
      </c>
      <c r="AT73" s="327">
        <v>80539.58795362903</v>
      </c>
      <c r="AU73" s="328">
        <v>86934.170866935485</v>
      </c>
      <c r="AV73" s="328">
        <v>89341.653225806454</v>
      </c>
      <c r="AW73" s="328">
        <v>91140.766129032243</v>
      </c>
      <c r="AX73" s="328">
        <v>96099.868951612909</v>
      </c>
      <c r="AY73" s="328">
        <v>97828.508064516122</v>
      </c>
      <c r="AZ73" s="328">
        <v>97836.572580645152</v>
      </c>
      <c r="BA73" s="328">
        <v>97190.645161290318</v>
      </c>
      <c r="BB73" s="328">
        <v>97364.107862903213</v>
      </c>
      <c r="BC73" s="328">
        <v>98086.408770161288</v>
      </c>
      <c r="BD73" s="328">
        <v>93706.549059139783</v>
      </c>
      <c r="BE73" s="328">
        <v>83380.277217741939</v>
      </c>
      <c r="BF73" s="328">
        <v>81038.145161290318</v>
      </c>
      <c r="BG73" s="328">
        <v>79961.224798387091</v>
      </c>
      <c r="BH73" s="328">
        <v>79961.224798387091</v>
      </c>
      <c r="BI73" s="328">
        <v>79961.224798387091</v>
      </c>
      <c r="BJ73" s="328">
        <v>77660.846774193546</v>
      </c>
      <c r="BK73" s="328">
        <v>72853.889616935485</v>
      </c>
      <c r="BL73" s="328">
        <v>70820.866935483864</v>
      </c>
      <c r="BM73" s="328">
        <v>71429.147177419349</v>
      </c>
      <c r="BN73" s="328">
        <v>70584.057459677424</v>
      </c>
      <c r="BO73" s="328">
        <v>70105.042002688162</v>
      </c>
      <c r="BP73" s="328">
        <v>67182.930947580651</v>
      </c>
      <c r="BQ73" s="328">
        <v>66724.662298387091</v>
      </c>
      <c r="BR73" s="328">
        <v>67824.059979838712</v>
      </c>
      <c r="BS73" s="328">
        <v>68500.904737903227</v>
      </c>
      <c r="BT73" s="328">
        <v>68724.480846774197</v>
      </c>
      <c r="BU73" s="328">
        <v>66429.480846774182</v>
      </c>
      <c r="BV73" s="328">
        <v>63588.351814516129</v>
      </c>
      <c r="BW73" s="328">
        <v>66402.384072580651</v>
      </c>
      <c r="BX73" s="328">
        <v>70905.260416666657</v>
      </c>
      <c r="BY73" s="328">
        <v>72930.645161290318</v>
      </c>
      <c r="BZ73" s="328">
        <v>74167.31182795699</v>
      </c>
      <c r="CA73" s="328">
        <v>76190.645161290318</v>
      </c>
      <c r="CB73" s="328">
        <v>78563.440860215051</v>
      </c>
      <c r="CC73" s="328">
        <v>82576.774193548394</v>
      </c>
      <c r="CD73" s="328">
        <v>83057.285786290318</v>
      </c>
      <c r="CE73" s="328">
        <v>87461.036626344096</v>
      </c>
      <c r="CF73" s="328">
        <v>95744.682459677424</v>
      </c>
      <c r="CG73" s="328">
        <v>100247.4932795699</v>
      </c>
      <c r="CH73" s="328">
        <v>93822.923387096787</v>
      </c>
      <c r="CI73" s="328">
        <v>89059.213709677409</v>
      </c>
      <c r="CJ73" s="328">
        <v>89672.547043010738</v>
      </c>
      <c r="CK73" s="328">
        <v>92655.342741935485</v>
      </c>
      <c r="CL73" s="328">
        <v>93595.342741935485</v>
      </c>
      <c r="CM73" s="329">
        <f t="shared" si="27"/>
        <v>80296.705365376722</v>
      </c>
    </row>
    <row r="74" spans="1:178">
      <c r="F74" s="330" t="s">
        <v>410</v>
      </c>
      <c r="G74" s="330"/>
      <c r="H74" s="330"/>
      <c r="I74" s="330"/>
      <c r="J74" s="330"/>
      <c r="K74" s="330"/>
      <c r="L74" s="330"/>
      <c r="M74" s="330"/>
      <c r="N74" s="330"/>
      <c r="O74" s="330"/>
      <c r="P74" s="330"/>
      <c r="Q74" s="330"/>
      <c r="R74" s="330"/>
      <c r="S74" s="331">
        <v>73130.399999999994</v>
      </c>
      <c r="T74" s="331">
        <v>75137.399999999994</v>
      </c>
      <c r="U74" s="331">
        <v>70196.399999999994</v>
      </c>
      <c r="V74" s="331">
        <v>67642.2</v>
      </c>
      <c r="W74" s="331">
        <v>66744</v>
      </c>
      <c r="X74" s="331">
        <v>71694.899999999994</v>
      </c>
      <c r="Y74" s="331">
        <v>73773</v>
      </c>
      <c r="Z74" s="331">
        <v>70695</v>
      </c>
      <c r="AA74" s="331">
        <v>66735</v>
      </c>
      <c r="AB74" s="331">
        <v>72495</v>
      </c>
      <c r="AC74" s="331">
        <v>71613</v>
      </c>
      <c r="AD74" s="331">
        <v>71172</v>
      </c>
      <c r="AE74" s="331">
        <v>69300</v>
      </c>
      <c r="AF74" s="331">
        <v>71055</v>
      </c>
      <c r="AG74" s="331">
        <v>71055</v>
      </c>
      <c r="AH74" s="331">
        <v>75069</v>
      </c>
      <c r="AI74" s="331">
        <v>75069</v>
      </c>
      <c r="AJ74" s="331">
        <v>78147</v>
      </c>
      <c r="AK74" s="331">
        <v>74601</v>
      </c>
      <c r="AL74" s="331">
        <v>73314</v>
      </c>
      <c r="AM74" s="331">
        <v>73314</v>
      </c>
      <c r="AN74" s="331">
        <v>71992.800000000003</v>
      </c>
      <c r="AO74" s="331">
        <v>74170.8</v>
      </c>
      <c r="AP74" s="331">
        <v>75970.8</v>
      </c>
      <c r="AQ74" s="331">
        <v>79579.8</v>
      </c>
      <c r="AR74" s="331">
        <v>78679.8</v>
      </c>
      <c r="AS74" s="331">
        <v>78679.8</v>
      </c>
      <c r="AT74" s="332">
        <v>82316.144548146898</v>
      </c>
      <c r="AU74" s="333">
        <v>87120.247838398529</v>
      </c>
      <c r="AV74" s="333">
        <v>88230.55929702321</v>
      </c>
      <c r="AW74" s="333">
        <v>88137.702676638582</v>
      </c>
      <c r="AX74" s="333">
        <v>90726.081075997456</v>
      </c>
      <c r="AY74" s="333">
        <v>93640.936364928682</v>
      </c>
      <c r="AZ74" s="333">
        <v>92952.565226764884</v>
      </c>
      <c r="BA74" s="333">
        <v>90410.936364928682</v>
      </c>
      <c r="BB74" s="333">
        <v>92250.936364928682</v>
      </c>
      <c r="BC74" s="333">
        <v>94825.936364928682</v>
      </c>
      <c r="BD74" s="333">
        <v>91827.603031595354</v>
      </c>
      <c r="BE74" s="333">
        <v>79800.936364928682</v>
      </c>
      <c r="BF74" s="333">
        <v>79925.936364928668</v>
      </c>
      <c r="BG74" s="333">
        <v>82092.565226764898</v>
      </c>
      <c r="BH74" s="333">
        <v>83705.936364928682</v>
      </c>
      <c r="BI74" s="333">
        <v>86337.244991853178</v>
      </c>
      <c r="BJ74" s="333">
        <v>88343.09322299331</v>
      </c>
      <c r="BK74" s="333">
        <v>84371.0867978694</v>
      </c>
      <c r="BL74" s="333">
        <v>82533.667556645247</v>
      </c>
      <c r="BM74" s="333">
        <v>83915.296418481477</v>
      </c>
      <c r="BN74" s="333">
        <v>85998.353851846667</v>
      </c>
      <c r="BO74" s="333">
        <v>83680.839372426868</v>
      </c>
      <c r="BP74" s="333">
        <v>78296.420131202744</v>
      </c>
      <c r="BQ74" s="333">
        <v>74908.667556645261</v>
      </c>
      <c r="BR74" s="333">
        <v>75368.667556645261</v>
      </c>
      <c r="BS74" s="333">
        <v>74755.334223311933</v>
      </c>
      <c r="BT74" s="333">
        <v>71698.667556645261</v>
      </c>
      <c r="BU74" s="333">
        <v>67093.667556645261</v>
      </c>
      <c r="BV74" s="333">
        <v>66173.667556645261</v>
      </c>
      <c r="BW74" s="333">
        <v>70296.297866503111</v>
      </c>
      <c r="BX74" s="333">
        <v>73811.225510968739</v>
      </c>
      <c r="BY74" s="333">
        <v>73104.932138219243</v>
      </c>
      <c r="BZ74" s="333">
        <v>73109.932138219243</v>
      </c>
      <c r="CA74" s="333">
        <v>76518.265471552571</v>
      </c>
      <c r="CB74" s="333">
        <v>82074.932138219243</v>
      </c>
      <c r="CC74" s="333">
        <v>90244.932138219243</v>
      </c>
      <c r="CD74" s="333">
        <v>93047.449038505991</v>
      </c>
      <c r="CE74" s="333">
        <v>98603.920574120828</v>
      </c>
      <c r="CF74" s="333">
        <v>112597.05572119531</v>
      </c>
      <c r="CG74" s="333">
        <v>112518.32981716725</v>
      </c>
      <c r="CH74" s="333">
        <v>106216.66315050058</v>
      </c>
      <c r="CI74" s="333">
        <v>98978.114255042339</v>
      </c>
      <c r="CJ74" s="333">
        <v>99434.349797459188</v>
      </c>
      <c r="CK74" s="333">
        <v>103781.54397226339</v>
      </c>
      <c r="CL74" s="333">
        <v>105181.5439722634</v>
      </c>
      <c r="CM74" s="334">
        <f t="shared" si="27"/>
        <v>81416.46229897374</v>
      </c>
    </row>
    <row r="75" spans="1:178">
      <c r="F75" s="293"/>
      <c r="G75" s="294"/>
      <c r="H75" s="29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294"/>
      <c r="AS75" s="294"/>
      <c r="AT75" s="335"/>
      <c r="AU75" s="225"/>
      <c r="AV75" s="225"/>
      <c r="AW75" s="225"/>
      <c r="AX75" s="225"/>
      <c r="AY75" s="225"/>
      <c r="AZ75" s="225"/>
      <c r="BA75" s="225"/>
      <c r="BB75" s="225"/>
      <c r="BC75" s="225"/>
      <c r="BD75" s="225"/>
      <c r="BE75" s="225"/>
      <c r="BF75" s="225"/>
      <c r="BG75" s="225"/>
      <c r="BH75" s="225"/>
      <c r="BI75" s="225"/>
      <c r="BJ75" s="225"/>
      <c r="BK75" s="225"/>
      <c r="BL75" s="225"/>
      <c r="BM75" s="225"/>
      <c r="BN75" s="225"/>
      <c r="BO75" s="225"/>
      <c r="BP75" s="225"/>
      <c r="BQ75" s="225"/>
      <c r="BR75" s="225"/>
      <c r="BS75" s="225"/>
      <c r="BT75" s="225"/>
      <c r="BU75" s="225"/>
      <c r="BV75" s="225"/>
      <c r="BW75" s="225"/>
      <c r="BX75" s="225"/>
      <c r="BY75" s="225"/>
      <c r="BZ75" s="225"/>
      <c r="CA75" s="225"/>
      <c r="CB75" s="225"/>
      <c r="CC75" s="225"/>
      <c r="CD75" s="225"/>
      <c r="CE75" s="225"/>
      <c r="CF75" s="225"/>
      <c r="CG75" s="225"/>
      <c r="CH75" s="225"/>
      <c r="CI75" s="225"/>
      <c r="CJ75" s="225"/>
      <c r="CK75" s="225"/>
      <c r="CL75" s="225"/>
      <c r="CM75" s="336"/>
    </row>
  </sheetData>
  <mergeCells count="12">
    <mergeCell ref="A59:E68"/>
    <mergeCell ref="A2:A6"/>
    <mergeCell ref="A7:A11"/>
    <mergeCell ref="A12:A15"/>
    <mergeCell ref="E12:E15"/>
    <mergeCell ref="A16:A22"/>
    <mergeCell ref="E16:E22"/>
    <mergeCell ref="A23:A33"/>
    <mergeCell ref="A34:A40"/>
    <mergeCell ref="E34:E40"/>
    <mergeCell ref="A42:A43"/>
    <mergeCell ref="A56:A57"/>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CA671-80F1-4227-BA43-27CFE0B7B714}">
  <sheetPr codeName="Sheet24">
    <tabColor rgb="FFFFC000"/>
  </sheetPr>
  <dimension ref="A1:FW75"/>
  <sheetViews>
    <sheetView showGridLines="0" topLeftCell="CB8" zoomScale="90" zoomScaleNormal="90" workbookViewId="0">
      <selection activeCell="CD34" sqref="CD34"/>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37" customWidth="1"/>
    <col min="7" max="7" width="16.28515625" style="337" bestFit="1" customWidth="1"/>
    <col min="8" max="8" width="17.140625" style="337" customWidth="1"/>
    <col min="9" max="9" width="16.7109375" style="337" customWidth="1"/>
    <col min="10" max="10" width="16.140625" style="337" customWidth="1"/>
    <col min="11" max="11" width="15.85546875" style="337" customWidth="1"/>
    <col min="12" max="12" width="15.5703125" style="337" customWidth="1"/>
    <col min="13" max="13" width="15.85546875" style="337" customWidth="1"/>
    <col min="14" max="16" width="16.5703125" style="337" customWidth="1"/>
    <col min="17" max="17" width="14.5703125" style="337" customWidth="1"/>
    <col min="18" max="18" width="17.28515625" style="337" customWidth="1"/>
    <col min="19" max="19" width="16.7109375" style="337" customWidth="1"/>
    <col min="20" max="20" width="16.28515625" style="337" customWidth="1"/>
    <col min="21" max="21" width="16.5703125" style="337" customWidth="1"/>
    <col min="22" max="22" width="17.85546875" style="337" customWidth="1"/>
    <col min="23" max="42" width="16.28515625" style="337" customWidth="1"/>
    <col min="43" max="43" width="15.42578125" style="337" customWidth="1"/>
    <col min="44" max="45" width="16.28515625" style="337" customWidth="1"/>
    <col min="46" max="46" width="18.7109375" style="338" bestFit="1" customWidth="1"/>
    <col min="47" max="90" width="15.85546875" style="1" bestFit="1" customWidth="1"/>
    <col min="91" max="91" width="25.85546875" style="58"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351" t="s">
        <v>301</v>
      </c>
      <c r="B1" s="351" t="s">
        <v>302</v>
      </c>
      <c r="C1" s="352" t="s">
        <v>147</v>
      </c>
      <c r="D1" s="352" t="s">
        <v>163</v>
      </c>
      <c r="E1" s="351" t="s">
        <v>303</v>
      </c>
      <c r="F1" s="353" t="s">
        <v>4</v>
      </c>
      <c r="G1" s="354">
        <v>41913</v>
      </c>
      <c r="H1" s="354">
        <v>41944</v>
      </c>
      <c r="I1" s="354">
        <v>41974</v>
      </c>
      <c r="J1" s="354">
        <v>42005</v>
      </c>
      <c r="K1" s="354">
        <v>42036</v>
      </c>
      <c r="L1" s="354">
        <v>42064</v>
      </c>
      <c r="M1" s="354">
        <v>42095</v>
      </c>
      <c r="N1" s="354">
        <v>42125</v>
      </c>
      <c r="O1" s="354">
        <v>42156</v>
      </c>
      <c r="P1" s="354">
        <v>42186</v>
      </c>
      <c r="Q1" s="354">
        <v>42217</v>
      </c>
      <c r="R1" s="354">
        <v>42248</v>
      </c>
      <c r="S1" s="354">
        <v>42278</v>
      </c>
      <c r="T1" s="354">
        <v>42309</v>
      </c>
      <c r="U1" s="354">
        <v>42339</v>
      </c>
      <c r="V1" s="354">
        <v>42370</v>
      </c>
      <c r="W1" s="354">
        <v>42401</v>
      </c>
      <c r="X1" s="354">
        <v>42430</v>
      </c>
      <c r="Y1" s="354">
        <v>42461</v>
      </c>
      <c r="Z1" s="354">
        <v>42491</v>
      </c>
      <c r="AA1" s="354">
        <v>42522</v>
      </c>
      <c r="AB1" s="354">
        <v>42552</v>
      </c>
      <c r="AC1" s="354">
        <v>42583</v>
      </c>
      <c r="AD1" s="354">
        <v>42614</v>
      </c>
      <c r="AE1" s="354">
        <v>42644</v>
      </c>
      <c r="AF1" s="354">
        <v>42675</v>
      </c>
      <c r="AG1" s="354">
        <v>42705</v>
      </c>
      <c r="AH1" s="354">
        <v>42736</v>
      </c>
      <c r="AI1" s="354">
        <v>42767</v>
      </c>
      <c r="AJ1" s="354">
        <v>42795</v>
      </c>
      <c r="AK1" s="354">
        <v>42826</v>
      </c>
      <c r="AL1" s="354">
        <v>42856</v>
      </c>
      <c r="AM1" s="354">
        <v>42887</v>
      </c>
      <c r="AN1" s="354">
        <v>42917</v>
      </c>
      <c r="AO1" s="354">
        <v>42948</v>
      </c>
      <c r="AP1" s="354">
        <v>42979</v>
      </c>
      <c r="AQ1" s="354">
        <v>43009</v>
      </c>
      <c r="AR1" s="354">
        <v>43040</v>
      </c>
      <c r="AS1" s="354">
        <v>43070</v>
      </c>
      <c r="AT1" s="354">
        <v>43101</v>
      </c>
      <c r="AU1" s="354">
        <v>43132</v>
      </c>
      <c r="AV1" s="354">
        <v>43160</v>
      </c>
      <c r="AW1" s="354">
        <v>43191</v>
      </c>
      <c r="AX1" s="354">
        <v>43221</v>
      </c>
      <c r="AY1" s="354">
        <v>43252</v>
      </c>
      <c r="AZ1" s="354">
        <v>43282</v>
      </c>
      <c r="BA1" s="354">
        <v>43313</v>
      </c>
      <c r="BB1" s="354">
        <v>43344</v>
      </c>
      <c r="BC1" s="354">
        <v>43374</v>
      </c>
      <c r="BD1" s="354">
        <v>43405</v>
      </c>
      <c r="BE1" s="354">
        <v>43435</v>
      </c>
      <c r="BF1" s="354">
        <v>43466</v>
      </c>
      <c r="BG1" s="354">
        <v>43497</v>
      </c>
      <c r="BH1" s="354">
        <v>43525</v>
      </c>
      <c r="BI1" s="354">
        <v>43556</v>
      </c>
      <c r="BJ1" s="354">
        <v>43586</v>
      </c>
      <c r="BK1" s="354">
        <v>43617</v>
      </c>
      <c r="BL1" s="354">
        <v>43647</v>
      </c>
      <c r="BM1" s="354">
        <v>43678</v>
      </c>
      <c r="BN1" s="354">
        <v>43709</v>
      </c>
      <c r="BO1" s="354">
        <v>43739</v>
      </c>
      <c r="BP1" s="354">
        <v>43770</v>
      </c>
      <c r="BQ1" s="354">
        <v>43800</v>
      </c>
      <c r="BR1" s="354">
        <v>43831</v>
      </c>
      <c r="BS1" s="354">
        <v>43862</v>
      </c>
      <c r="BT1" s="354">
        <v>43891</v>
      </c>
      <c r="BU1" s="354">
        <v>43922</v>
      </c>
      <c r="BV1" s="354">
        <v>43952</v>
      </c>
      <c r="BW1" s="354">
        <v>43983</v>
      </c>
      <c r="BX1" s="354">
        <v>44013</v>
      </c>
      <c r="BY1" s="354">
        <v>44044</v>
      </c>
      <c r="BZ1" s="354">
        <v>44075</v>
      </c>
      <c r="CA1" s="354">
        <v>44105</v>
      </c>
      <c r="CB1" s="354">
        <v>44136</v>
      </c>
      <c r="CC1" s="354">
        <v>44166</v>
      </c>
      <c r="CD1" s="354">
        <v>44197</v>
      </c>
      <c r="CE1" s="354">
        <v>44228</v>
      </c>
      <c r="CF1" s="354">
        <v>44256</v>
      </c>
      <c r="CG1" s="354">
        <v>44287</v>
      </c>
      <c r="CH1" s="354">
        <v>44317</v>
      </c>
      <c r="CI1" s="354">
        <v>44348</v>
      </c>
      <c r="CJ1" s="354">
        <v>44378</v>
      </c>
      <c r="CK1" s="354">
        <v>44409</v>
      </c>
      <c r="CL1" s="354">
        <v>44440</v>
      </c>
      <c r="CM1" s="355" t="s">
        <v>406</v>
      </c>
      <c r="CN1" s="58"/>
      <c r="CO1" s="58"/>
      <c r="CP1" s="58"/>
      <c r="CQ1" s="58"/>
      <c r="CR1" s="58"/>
      <c r="CS1" s="58"/>
      <c r="CT1" s="58"/>
      <c r="CU1" s="58"/>
      <c r="CV1" s="58"/>
      <c r="CW1" s="58"/>
      <c r="CX1" s="58"/>
      <c r="CY1" s="58"/>
      <c r="CZ1" s="58"/>
      <c r="DA1" s="58"/>
      <c r="DB1" s="58"/>
      <c r="DC1" s="58"/>
      <c r="DD1" s="58"/>
      <c r="DE1" s="58"/>
      <c r="DF1" s="58"/>
      <c r="DG1" s="58"/>
      <c r="DH1" s="58"/>
      <c r="DI1" s="58"/>
      <c r="DJ1" s="58"/>
      <c r="DK1" s="58"/>
      <c r="DL1" s="58"/>
      <c r="DM1" s="58"/>
      <c r="DN1" s="58"/>
      <c r="DO1" s="58"/>
      <c r="DP1" s="58"/>
      <c r="DQ1" s="58"/>
      <c r="DR1" s="58"/>
      <c r="DS1" s="58"/>
      <c r="DT1" s="58"/>
      <c r="DU1" s="58"/>
      <c r="DV1" s="58"/>
      <c r="DW1" s="58"/>
      <c r="DX1" s="58"/>
      <c r="DY1" s="58"/>
      <c r="DZ1" s="58"/>
      <c r="EA1" s="58"/>
      <c r="EB1" s="58"/>
      <c r="EC1" s="58"/>
      <c r="ED1" s="58"/>
      <c r="EE1" s="58"/>
      <c r="EF1" s="58"/>
      <c r="EG1" s="58"/>
      <c r="EH1" s="58"/>
      <c r="EI1" s="58"/>
      <c r="EJ1" s="58"/>
      <c r="EK1" s="58"/>
      <c r="EL1" s="58"/>
      <c r="EM1" s="58"/>
      <c r="EN1" s="58"/>
      <c r="EO1" s="58"/>
      <c r="EP1" s="58"/>
      <c r="EQ1" s="58"/>
      <c r="ER1" s="58"/>
      <c r="ES1" s="58"/>
      <c r="ET1" s="58"/>
      <c r="EU1" s="58"/>
      <c r="EV1" s="58"/>
      <c r="EW1" s="58"/>
      <c r="EX1" s="58"/>
      <c r="EY1" s="58"/>
      <c r="EZ1" s="58"/>
      <c r="FA1" s="58"/>
      <c r="FB1" s="58"/>
      <c r="FC1" s="58"/>
      <c r="FD1" s="58"/>
      <c r="FE1" s="58"/>
      <c r="FF1" s="58"/>
      <c r="FG1" s="58"/>
      <c r="FH1" s="58"/>
      <c r="FI1" s="58"/>
      <c r="FJ1" s="58"/>
      <c r="FK1" s="58"/>
      <c r="FL1" s="58"/>
      <c r="FM1" s="58"/>
      <c r="FN1" s="58"/>
      <c r="FO1" s="58"/>
      <c r="FP1" s="58"/>
      <c r="FQ1" s="58"/>
      <c r="FR1" s="58"/>
      <c r="FS1" s="58"/>
      <c r="FT1" s="58"/>
      <c r="FU1" s="58"/>
      <c r="FV1" s="58"/>
    </row>
    <row r="2" spans="1:178">
      <c r="A2" s="1057" t="s">
        <v>304</v>
      </c>
      <c r="B2" s="286" t="s">
        <v>305</v>
      </c>
      <c r="C2" s="356" t="s">
        <v>143</v>
      </c>
      <c r="D2" s="356"/>
      <c r="E2" s="357" t="s">
        <v>351</v>
      </c>
      <c r="F2" s="358" t="s">
        <v>149</v>
      </c>
      <c r="G2" s="358">
        <v>27200</v>
      </c>
      <c r="H2" s="358">
        <v>26500</v>
      </c>
      <c r="I2" s="358">
        <v>22100</v>
      </c>
      <c r="J2" s="358">
        <v>20800</v>
      </c>
      <c r="K2" s="358">
        <v>21100</v>
      </c>
      <c r="L2" s="358">
        <v>21750</v>
      </c>
      <c r="M2" s="358">
        <v>21300</v>
      </c>
      <c r="N2" s="358">
        <v>20990</v>
      </c>
      <c r="O2" s="358">
        <v>20650</v>
      </c>
      <c r="P2" s="358">
        <v>20330</v>
      </c>
      <c r="Q2" s="358">
        <v>20100</v>
      </c>
      <c r="R2" s="358">
        <v>19450</v>
      </c>
      <c r="S2" s="359">
        <v>20360</v>
      </c>
      <c r="T2" s="359">
        <v>19847</v>
      </c>
      <c r="U2" s="359">
        <v>19057</v>
      </c>
      <c r="V2" s="359">
        <v>22064</v>
      </c>
      <c r="W2" s="359">
        <v>21150</v>
      </c>
      <c r="X2" s="359">
        <v>18838</v>
      </c>
      <c r="Y2" s="359">
        <v>12077</v>
      </c>
      <c r="Z2" s="359">
        <v>13904</v>
      </c>
      <c r="AA2" s="359">
        <v>13226</v>
      </c>
      <c r="AB2" s="359">
        <v>13231</v>
      </c>
      <c r="AC2" s="359">
        <v>14922</v>
      </c>
      <c r="AD2" s="359">
        <v>14108</v>
      </c>
      <c r="AE2" s="359">
        <v>11044</v>
      </c>
      <c r="AF2" s="359">
        <v>15271</v>
      </c>
      <c r="AG2" s="359">
        <v>15211</v>
      </c>
      <c r="AH2" s="359">
        <v>17994</v>
      </c>
      <c r="AI2" s="359">
        <v>19354</v>
      </c>
      <c r="AJ2" s="359">
        <v>23522</v>
      </c>
      <c r="AK2" s="359">
        <v>24045</v>
      </c>
      <c r="AL2" s="359">
        <v>20362</v>
      </c>
      <c r="AM2" s="359">
        <v>19459</v>
      </c>
      <c r="AN2" s="359">
        <v>20413</v>
      </c>
      <c r="AO2" s="359">
        <v>15226</v>
      </c>
      <c r="AP2" s="359">
        <v>16877</v>
      </c>
      <c r="AQ2" s="359">
        <v>28834</v>
      </c>
      <c r="AR2" s="359">
        <v>29076</v>
      </c>
      <c r="AS2" s="359">
        <v>29937</v>
      </c>
      <c r="AT2" s="360">
        <v>28994.924777010401</v>
      </c>
      <c r="AU2" s="359">
        <v>29083.53795837006</v>
      </c>
      <c r="AV2" s="359">
        <v>34366.504780699324</v>
      </c>
      <c r="AW2" s="359">
        <v>33560.84076592559</v>
      </c>
      <c r="AX2" s="359">
        <v>26218.900621677058</v>
      </c>
      <c r="AY2" s="359">
        <v>35995.3751249493</v>
      </c>
      <c r="AZ2" s="359">
        <v>40427.168047868036</v>
      </c>
      <c r="BA2" s="359">
        <v>41802.471042837584</v>
      </c>
      <c r="BB2" s="359">
        <v>42113.614300327099</v>
      </c>
      <c r="BC2" s="359">
        <v>25996.232831627069</v>
      </c>
      <c r="BD2" s="359">
        <v>23233.174449043679</v>
      </c>
      <c r="BE2" s="359">
        <v>23262.637969758925</v>
      </c>
      <c r="BF2" s="359">
        <v>23907.7292329458</v>
      </c>
      <c r="BG2" s="359">
        <v>23317.963262738322</v>
      </c>
      <c r="BH2" s="359">
        <v>23383.118785073329</v>
      </c>
      <c r="BI2" s="359">
        <v>24651.246231346595</v>
      </c>
      <c r="BJ2" s="359">
        <v>24557.925586871806</v>
      </c>
      <c r="BK2" s="359">
        <v>24829.484559121953</v>
      </c>
      <c r="BL2" s="359">
        <v>25055.43026719796</v>
      </c>
      <c r="BM2" s="359">
        <v>25788.630012426867</v>
      </c>
      <c r="BN2" s="359">
        <v>24643.230588247261</v>
      </c>
      <c r="BO2" s="359">
        <v>22952.67731483098</v>
      </c>
      <c r="BP2" s="359">
        <v>22947.88884116093</v>
      </c>
      <c r="BQ2" s="359">
        <v>23317.24351414209</v>
      </c>
      <c r="BR2" s="359">
        <v>23890.571956586806</v>
      </c>
      <c r="BS2" s="359">
        <v>24228.610372014118</v>
      </c>
      <c r="BT2" s="359">
        <v>23541.978231953181</v>
      </c>
      <c r="BU2" s="359">
        <v>20644.541889138898</v>
      </c>
      <c r="BV2" s="359">
        <v>20890.304335565754</v>
      </c>
      <c r="BW2" s="359">
        <v>21374.533561952143</v>
      </c>
      <c r="BX2" s="359">
        <v>20823.815492546022</v>
      </c>
      <c r="BY2" s="359">
        <v>21262.530692823591</v>
      </c>
      <c r="BZ2" s="359">
        <v>21999.186981115297</v>
      </c>
      <c r="CA2" s="359">
        <v>19071.183854484243</v>
      </c>
      <c r="CB2" s="359">
        <v>18416.612908296738</v>
      </c>
      <c r="CC2" s="359">
        <v>19631.38584711331</v>
      </c>
      <c r="CD2" s="359">
        <v>18862.12739731725</v>
      </c>
      <c r="CE2" s="359">
        <v>19417.545218868301</v>
      </c>
      <c r="CF2" s="359">
        <v>19573.277993613043</v>
      </c>
      <c r="CG2" s="359">
        <v>19181.382115766464</v>
      </c>
      <c r="CH2" s="359">
        <v>19438.661485292767</v>
      </c>
      <c r="CI2" s="359">
        <v>19349.709140187424</v>
      </c>
      <c r="CJ2" s="359">
        <v>19586.01839165475</v>
      </c>
      <c r="CK2" s="359">
        <v>18872.315054019989</v>
      </c>
      <c r="CL2" s="358">
        <v>18949.614134508891</v>
      </c>
      <c r="CM2" s="359">
        <f t="shared" ref="CM2:CM13" si="0">AVERAGE(G2:CL2)</f>
        <v>22322.534022869251</v>
      </c>
      <c r="CN2" s="361" t="s">
        <v>164</v>
      </c>
      <c r="CO2" s="361"/>
      <c r="CP2" s="361"/>
      <c r="CQ2" s="361"/>
      <c r="CR2" s="361"/>
      <c r="CS2" s="361"/>
      <c r="CT2" s="361"/>
      <c r="CU2" s="361"/>
      <c r="CV2" s="361"/>
      <c r="CW2" s="361"/>
      <c r="CX2" s="361"/>
      <c r="CY2" s="361"/>
      <c r="CZ2" s="361"/>
      <c r="DA2" s="361"/>
      <c r="DB2" s="361"/>
      <c r="DC2" s="361"/>
      <c r="DD2" s="361"/>
      <c r="DE2" s="361"/>
      <c r="DF2" s="361"/>
      <c r="DG2" s="361"/>
      <c r="DH2" s="361"/>
      <c r="DI2" s="361"/>
      <c r="DJ2" s="361"/>
      <c r="DK2" s="361"/>
      <c r="DL2" s="361"/>
      <c r="DM2" s="361"/>
      <c r="DN2" s="361"/>
      <c r="DO2" s="361"/>
      <c r="DP2" s="361"/>
      <c r="DQ2" s="361"/>
      <c r="DR2" s="361"/>
      <c r="DS2" s="361"/>
      <c r="DT2" s="361"/>
      <c r="DU2" s="361"/>
      <c r="DV2" s="361"/>
      <c r="DW2" s="361"/>
      <c r="DX2" s="361"/>
      <c r="DY2" s="361"/>
      <c r="DZ2" s="361"/>
      <c r="EA2" s="361"/>
      <c r="EB2" s="361"/>
      <c r="EC2" s="58"/>
      <c r="ED2" s="58"/>
      <c r="EE2" s="58"/>
      <c r="EF2" s="58"/>
      <c r="EG2" s="58"/>
      <c r="EH2" s="58"/>
      <c r="EI2" s="58"/>
      <c r="EJ2" s="58"/>
      <c r="EK2" s="58"/>
      <c r="EL2" s="58"/>
      <c r="EM2" s="58"/>
      <c r="EN2" s="58"/>
      <c r="EO2" s="58"/>
      <c r="EP2" s="58"/>
      <c r="EQ2" s="58"/>
      <c r="ER2" s="58"/>
      <c r="ES2" s="58"/>
      <c r="ET2" s="58"/>
      <c r="EU2" s="58"/>
      <c r="EV2" s="58"/>
      <c r="EW2" s="58"/>
      <c r="EX2" s="58"/>
      <c r="EY2" s="58"/>
      <c r="EZ2" s="58"/>
      <c r="FA2" s="58"/>
      <c r="FB2" s="58"/>
      <c r="FC2" s="58"/>
      <c r="FD2" s="58"/>
      <c r="FE2" s="58"/>
      <c r="FF2" s="58"/>
      <c r="FG2" s="58"/>
      <c r="FH2" s="58"/>
      <c r="FI2" s="58"/>
      <c r="FJ2" s="58"/>
      <c r="FK2" s="58"/>
      <c r="FL2" s="58"/>
      <c r="FM2" s="58"/>
      <c r="FN2" s="58"/>
      <c r="FO2" s="58"/>
      <c r="FP2" s="58"/>
      <c r="FQ2" s="58"/>
      <c r="FR2" s="58"/>
      <c r="FS2" s="58"/>
      <c r="FT2" s="58"/>
      <c r="FU2" s="58"/>
      <c r="FV2" s="58"/>
    </row>
    <row r="3" spans="1:178">
      <c r="A3" s="1058"/>
      <c r="B3" s="2" t="s">
        <v>305</v>
      </c>
      <c r="C3" s="362" t="s">
        <v>143</v>
      </c>
      <c r="D3" s="362"/>
      <c r="E3" s="58" t="s">
        <v>351</v>
      </c>
      <c r="F3" s="363" t="s">
        <v>0</v>
      </c>
      <c r="G3" s="363">
        <v>40150</v>
      </c>
      <c r="H3" s="363">
        <v>39300</v>
      </c>
      <c r="I3" s="363">
        <v>34500</v>
      </c>
      <c r="J3" s="363">
        <v>33240</v>
      </c>
      <c r="K3" s="363">
        <v>32750</v>
      </c>
      <c r="L3" s="363">
        <v>33100</v>
      </c>
      <c r="M3" s="363">
        <v>32650</v>
      </c>
      <c r="N3" s="363">
        <v>32300</v>
      </c>
      <c r="O3" s="363">
        <v>30100</v>
      </c>
      <c r="P3" s="363">
        <v>29600</v>
      </c>
      <c r="Q3" s="363">
        <v>29300</v>
      </c>
      <c r="R3" s="363">
        <v>28200</v>
      </c>
      <c r="S3" s="319">
        <v>29130</v>
      </c>
      <c r="T3" s="319">
        <v>27980</v>
      </c>
      <c r="U3" s="319">
        <v>28450</v>
      </c>
      <c r="V3" s="319">
        <v>31940</v>
      </c>
      <c r="W3" s="319">
        <v>32360</v>
      </c>
      <c r="X3" s="319">
        <v>27300</v>
      </c>
      <c r="Y3" s="319">
        <v>23430</v>
      </c>
      <c r="Z3" s="319">
        <v>24600</v>
      </c>
      <c r="AA3" s="319">
        <v>24100</v>
      </c>
      <c r="AB3" s="319">
        <v>24900</v>
      </c>
      <c r="AC3" s="319">
        <v>23180</v>
      </c>
      <c r="AD3" s="319">
        <v>22750</v>
      </c>
      <c r="AE3" s="319">
        <v>21350</v>
      </c>
      <c r="AF3" s="319">
        <v>24020</v>
      </c>
      <c r="AG3" s="319">
        <v>27070</v>
      </c>
      <c r="AH3" s="319">
        <v>28500</v>
      </c>
      <c r="AI3" s="319">
        <v>30640</v>
      </c>
      <c r="AJ3" s="319">
        <v>33490</v>
      </c>
      <c r="AK3" s="319">
        <v>34890</v>
      </c>
      <c r="AL3" s="319">
        <v>32270</v>
      </c>
      <c r="AM3" s="319">
        <v>29650</v>
      </c>
      <c r="AN3" s="319">
        <v>28360</v>
      </c>
      <c r="AO3" s="319">
        <v>25780</v>
      </c>
      <c r="AP3" s="319">
        <v>28790</v>
      </c>
      <c r="AQ3" s="319">
        <v>37740</v>
      </c>
      <c r="AR3" s="319">
        <v>38910</v>
      </c>
      <c r="AS3" s="319">
        <v>39200</v>
      </c>
      <c r="AT3" s="364">
        <v>39267.739761524499</v>
      </c>
      <c r="AU3" s="319">
        <v>35320.99284552411</v>
      </c>
      <c r="AV3" s="319">
        <v>32642.643561859699</v>
      </c>
      <c r="AW3" s="319">
        <v>32591.713857151481</v>
      </c>
      <c r="AX3" s="319">
        <v>35322.25032773053</v>
      </c>
      <c r="AY3" s="319">
        <v>39703.969071957552</v>
      </c>
      <c r="AZ3" s="319">
        <v>39873.279388030664</v>
      </c>
      <c r="BA3" s="319">
        <v>42186.838343884381</v>
      </c>
      <c r="BB3" s="319">
        <v>45353.692547267237</v>
      </c>
      <c r="BC3" s="319">
        <v>50421.563709397698</v>
      </c>
      <c r="BD3" s="319">
        <v>40583.378652357023</v>
      </c>
      <c r="BE3" s="319">
        <v>32948.17063043618</v>
      </c>
      <c r="BF3" s="319">
        <v>31831.243798285665</v>
      </c>
      <c r="BG3" s="319">
        <v>32775.625890130817</v>
      </c>
      <c r="BH3" s="319">
        <v>35603.026406517805</v>
      </c>
      <c r="BI3" s="319">
        <v>37413.346401247443</v>
      </c>
      <c r="BJ3" s="319">
        <v>38313.43145419551</v>
      </c>
      <c r="BK3" s="319">
        <v>31229.255203616198</v>
      </c>
      <c r="BL3" s="319">
        <v>26987.793742556612</v>
      </c>
      <c r="BM3" s="319">
        <v>27502.94958707604</v>
      </c>
      <c r="BN3" s="319">
        <v>26129.656129075174</v>
      </c>
      <c r="BO3" s="319">
        <v>31204.144072500429</v>
      </c>
      <c r="BP3" s="319">
        <v>32130.775456387943</v>
      </c>
      <c r="BQ3" s="319">
        <v>32763.935287141259</v>
      </c>
      <c r="BR3" s="319">
        <v>42146.917092812088</v>
      </c>
      <c r="BS3" s="319">
        <v>37776.741118253449</v>
      </c>
      <c r="BT3" s="319">
        <v>33392.157412302018</v>
      </c>
      <c r="BU3" s="319">
        <v>18333.270191784217</v>
      </c>
      <c r="BV3" s="319">
        <v>26907.499996889728</v>
      </c>
      <c r="BW3" s="319">
        <v>27733.582571128205</v>
      </c>
      <c r="BX3" s="319">
        <v>28238.348704213</v>
      </c>
      <c r="BY3" s="319">
        <v>28510.385603307008</v>
      </c>
      <c r="BZ3" s="319">
        <v>28060.277302456198</v>
      </c>
      <c r="CA3" s="319">
        <v>28820.536895295158</v>
      </c>
      <c r="CB3" s="319">
        <v>33404.388819080297</v>
      </c>
      <c r="CC3" s="319">
        <v>34644.168688458158</v>
      </c>
      <c r="CD3" s="319">
        <v>42078.873462612726</v>
      </c>
      <c r="CE3" s="319">
        <v>46073.542822435593</v>
      </c>
      <c r="CF3" s="319">
        <v>47621.606524213996</v>
      </c>
      <c r="CG3" s="319">
        <v>43640.112363280605</v>
      </c>
      <c r="CH3" s="319">
        <v>37985.33224426135</v>
      </c>
      <c r="CI3" s="319">
        <v>40810.0621081149</v>
      </c>
      <c r="CJ3" s="319">
        <v>48277.341437526047</v>
      </c>
      <c r="CK3" s="319">
        <v>51157.210854820602</v>
      </c>
      <c r="CL3" s="363">
        <v>51107.125769928265</v>
      </c>
      <c r="CM3" s="319">
        <f t="shared" si="0"/>
        <v>33366.558310821732</v>
      </c>
      <c r="CN3" s="58"/>
      <c r="CO3" s="361" t="s">
        <v>165</v>
      </c>
      <c r="CP3" s="361" t="s">
        <v>166</v>
      </c>
      <c r="CQ3" s="361" t="s">
        <v>167</v>
      </c>
      <c r="CR3" s="361" t="s">
        <v>1</v>
      </c>
      <c r="CS3" s="58"/>
      <c r="CT3" s="58"/>
      <c r="CU3" s="58"/>
      <c r="CV3" s="58"/>
      <c r="CW3" s="58"/>
      <c r="DB3" s="75"/>
      <c r="DC3" s="75"/>
      <c r="DD3" s="75"/>
      <c r="DE3" s="75"/>
      <c r="DF3" s="75"/>
      <c r="DG3" s="75"/>
      <c r="DH3" s="75"/>
      <c r="DI3" s="75"/>
      <c r="DJ3" s="75"/>
      <c r="DK3" s="75"/>
      <c r="DL3" s="75"/>
      <c r="DM3" s="75"/>
      <c r="DN3" s="75"/>
      <c r="DO3" s="75"/>
      <c r="DP3" s="75"/>
      <c r="DQ3" s="75"/>
      <c r="DR3" s="75"/>
      <c r="DS3" s="75"/>
      <c r="DT3" s="75"/>
      <c r="DU3" s="75"/>
      <c r="DV3" s="75"/>
      <c r="DW3" s="75"/>
      <c r="DX3" s="75"/>
      <c r="DY3" s="75"/>
      <c r="DZ3" s="75"/>
      <c r="EA3" s="75"/>
      <c r="EB3" s="75"/>
      <c r="EC3" s="58"/>
      <c r="ED3" s="58"/>
      <c r="EE3" s="58"/>
      <c r="EF3" s="58"/>
      <c r="EG3" s="58"/>
      <c r="EH3" s="58"/>
      <c r="EI3" s="58"/>
      <c r="EJ3" s="58"/>
      <c r="EK3" s="58"/>
      <c r="EL3" s="58"/>
      <c r="EM3" s="58"/>
      <c r="EN3" s="58"/>
      <c r="EO3" s="58"/>
      <c r="EP3" s="58"/>
      <c r="EQ3" s="58"/>
      <c r="ER3" s="58"/>
      <c r="ES3" s="58"/>
      <c r="ET3" s="58"/>
      <c r="EU3" s="58"/>
      <c r="EV3" s="58"/>
      <c r="EW3" s="58"/>
      <c r="EX3" s="58"/>
      <c r="EY3" s="58"/>
      <c r="EZ3" s="58"/>
      <c r="FA3" s="58"/>
      <c r="FB3" s="58"/>
      <c r="FC3" s="58"/>
      <c r="FD3" s="58"/>
      <c r="FE3" s="58"/>
      <c r="FF3" s="58"/>
      <c r="FG3" s="58"/>
      <c r="FH3" s="58"/>
      <c r="FI3" s="58"/>
      <c r="FJ3" s="58"/>
      <c r="FK3" s="58"/>
      <c r="FL3" s="58"/>
      <c r="FM3" s="58"/>
      <c r="FN3" s="58"/>
      <c r="FO3" s="58"/>
      <c r="FP3" s="58"/>
      <c r="FQ3" s="58"/>
      <c r="FR3" s="58"/>
      <c r="FS3" s="58"/>
      <c r="FT3" s="58"/>
      <c r="FU3" s="58"/>
      <c r="FV3" s="58"/>
    </row>
    <row r="4" spans="1:178">
      <c r="A4" s="1058"/>
      <c r="B4" s="2" t="s">
        <v>305</v>
      </c>
      <c r="C4" s="362" t="s">
        <v>143</v>
      </c>
      <c r="D4" s="362"/>
      <c r="E4" s="58" t="s">
        <v>351</v>
      </c>
      <c r="F4" s="363" t="s">
        <v>306</v>
      </c>
      <c r="G4" s="363">
        <v>36200</v>
      </c>
      <c r="H4" s="363">
        <v>34500</v>
      </c>
      <c r="I4" s="363">
        <v>31500</v>
      </c>
      <c r="J4" s="363">
        <v>30200</v>
      </c>
      <c r="K4" s="363">
        <v>29900</v>
      </c>
      <c r="L4" s="363">
        <v>30600</v>
      </c>
      <c r="M4" s="363">
        <v>29500</v>
      </c>
      <c r="N4" s="363">
        <v>29100</v>
      </c>
      <c r="O4" s="363">
        <v>28900</v>
      </c>
      <c r="P4" s="363">
        <v>28700</v>
      </c>
      <c r="Q4" s="363">
        <v>28520</v>
      </c>
      <c r="R4" s="363">
        <v>27450</v>
      </c>
      <c r="S4" s="319">
        <v>28747</v>
      </c>
      <c r="T4" s="319">
        <v>26363</v>
      </c>
      <c r="U4" s="319">
        <v>28314</v>
      </c>
      <c r="V4" s="319">
        <v>30904</v>
      </c>
      <c r="W4" s="319">
        <v>32179</v>
      </c>
      <c r="X4" s="319">
        <v>25459</v>
      </c>
      <c r="Y4" s="319">
        <v>22444</v>
      </c>
      <c r="Z4" s="319">
        <v>22701</v>
      </c>
      <c r="AA4" s="319">
        <v>23254</v>
      </c>
      <c r="AB4" s="319">
        <v>24690</v>
      </c>
      <c r="AC4" s="319">
        <v>21943</v>
      </c>
      <c r="AD4" s="319">
        <v>21072</v>
      </c>
      <c r="AE4" s="319">
        <v>20684</v>
      </c>
      <c r="AF4" s="319">
        <v>22360</v>
      </c>
      <c r="AG4" s="319">
        <v>26129</v>
      </c>
      <c r="AH4" s="319">
        <v>28230</v>
      </c>
      <c r="AI4" s="319">
        <v>29816</v>
      </c>
      <c r="AJ4" s="319">
        <v>32258</v>
      </c>
      <c r="AK4" s="319">
        <v>33673</v>
      </c>
      <c r="AL4" s="319">
        <v>31199</v>
      </c>
      <c r="AM4" s="319">
        <v>28636</v>
      </c>
      <c r="AN4" s="319">
        <v>28048</v>
      </c>
      <c r="AO4" s="319">
        <v>25686</v>
      </c>
      <c r="AP4" s="319">
        <v>28291</v>
      </c>
      <c r="AQ4" s="319">
        <v>36800</v>
      </c>
      <c r="AR4" s="319">
        <v>37009</v>
      </c>
      <c r="AS4" s="319">
        <v>39032</v>
      </c>
      <c r="AT4" s="364">
        <v>37934.865946679616</v>
      </c>
      <c r="AU4" s="319">
        <v>33977.640442957862</v>
      </c>
      <c r="AV4" s="319">
        <v>31621.932879798373</v>
      </c>
      <c r="AW4" s="319">
        <v>32245.619069523007</v>
      </c>
      <c r="AX4" s="319">
        <v>35684.70245863789</v>
      </c>
      <c r="AY4" s="319">
        <v>39729.847125147098</v>
      </c>
      <c r="AZ4" s="319">
        <v>40952.16644234657</v>
      </c>
      <c r="BA4" s="319">
        <v>43265.008516764698</v>
      </c>
      <c r="BB4" s="319">
        <v>47988.175639430039</v>
      </c>
      <c r="BC4" s="319">
        <v>50433.177687914897</v>
      </c>
      <c r="BD4" s="319">
        <v>39526.941750297483</v>
      </c>
      <c r="BE4" s="319">
        <v>30706.727022092222</v>
      </c>
      <c r="BF4" s="319">
        <v>31116.496307792124</v>
      </c>
      <c r="BG4" s="319">
        <v>35009.966798561858</v>
      </c>
      <c r="BH4" s="319">
        <v>37788.034281404027</v>
      </c>
      <c r="BI4" s="319">
        <v>38867.056236388496</v>
      </c>
      <c r="BJ4" s="319">
        <v>38678.266268318395</v>
      </c>
      <c r="BK4" s="319">
        <v>30138.909034848981</v>
      </c>
      <c r="BL4" s="319">
        <v>25548.609383721534</v>
      </c>
      <c r="BM4" s="319">
        <v>26760.845915432019</v>
      </c>
      <c r="BN4" s="319">
        <v>26872.996097798805</v>
      </c>
      <c r="BO4" s="319">
        <v>32318.693176917925</v>
      </c>
      <c r="BP4" s="319">
        <v>33253.389942674119</v>
      </c>
      <c r="BQ4" s="319">
        <v>33880.879188109247</v>
      </c>
      <c r="BR4" s="319">
        <v>44015.264630194491</v>
      </c>
      <c r="BS4" s="319">
        <v>40776.774414982094</v>
      </c>
      <c r="BT4" s="319">
        <v>37265.269327664537</v>
      </c>
      <c r="BU4" s="319">
        <v>19125.668604651164</v>
      </c>
      <c r="BV4" s="319">
        <v>26903.941500000001</v>
      </c>
      <c r="BW4" s="319">
        <v>26159.661614028053</v>
      </c>
      <c r="BX4" s="319">
        <v>26674.737698603414</v>
      </c>
      <c r="BY4" s="319">
        <v>26951.072804257299</v>
      </c>
      <c r="BZ4" s="319">
        <v>27292.749632570878</v>
      </c>
      <c r="CA4" s="319">
        <v>29207.059319259082</v>
      </c>
      <c r="CB4" s="319">
        <v>34185.03825123742</v>
      </c>
      <c r="CC4" s="319">
        <v>35409.408776058146</v>
      </c>
      <c r="CD4" s="319">
        <v>40548.590675430503</v>
      </c>
      <c r="CE4" s="319">
        <v>44551.491526971819</v>
      </c>
      <c r="CF4" s="319">
        <v>45328.551547510528</v>
      </c>
      <c r="CG4" s="319">
        <v>41304.84915769448</v>
      </c>
      <c r="CH4" s="319">
        <v>36449.953636561011</v>
      </c>
      <c r="CI4" s="319">
        <v>40423.343654069329</v>
      </c>
      <c r="CJ4" s="319">
        <v>48277.23010084885</v>
      </c>
      <c r="CK4" s="319">
        <v>50779.51102849115</v>
      </c>
      <c r="CL4" s="363">
        <v>51112.515377978409</v>
      </c>
      <c r="CM4" s="319">
        <f t="shared" si="0"/>
        <v>32714.697986816904</v>
      </c>
      <c r="CN4" s="75" t="s">
        <v>168</v>
      </c>
      <c r="CO4" s="365">
        <v>0.98795180722891562</v>
      </c>
      <c r="CP4" s="365">
        <v>0.65714285714285725</v>
      </c>
      <c r="CQ4" s="365">
        <v>0.57894736842105254</v>
      </c>
      <c r="CR4" s="365">
        <v>0.57894736842105254</v>
      </c>
      <c r="CS4" s="75"/>
      <c r="CT4" s="75"/>
      <c r="CU4" s="75"/>
      <c r="CV4" s="75"/>
      <c r="CW4" s="75"/>
      <c r="DB4" s="75"/>
      <c r="DC4" s="75"/>
      <c r="DD4" s="75"/>
      <c r="DE4" s="75"/>
      <c r="DF4" s="75"/>
      <c r="DG4" s="75"/>
      <c r="DH4" s="75"/>
      <c r="DI4" s="75"/>
      <c r="DJ4" s="75"/>
      <c r="DK4" s="75"/>
      <c r="DL4" s="75"/>
      <c r="DM4" s="75"/>
      <c r="DN4" s="75"/>
      <c r="DO4" s="75"/>
      <c r="DP4" s="75"/>
      <c r="DQ4" s="75"/>
      <c r="DR4" s="75"/>
      <c r="DS4" s="75"/>
      <c r="DT4" s="75"/>
      <c r="DU4" s="75"/>
      <c r="DV4" s="75"/>
      <c r="DW4" s="75"/>
      <c r="DX4" s="75"/>
      <c r="DY4" s="75"/>
      <c r="DZ4" s="75"/>
      <c r="EA4" s="75"/>
      <c r="EB4" s="75"/>
      <c r="EC4" s="58"/>
      <c r="ED4" s="58"/>
      <c r="EE4" s="58"/>
      <c r="EF4" s="58"/>
      <c r="EG4" s="58"/>
      <c r="EH4" s="58"/>
      <c r="EI4" s="58"/>
      <c r="EJ4" s="58"/>
      <c r="EK4" s="58"/>
      <c r="EL4" s="58"/>
      <c r="EM4" s="58"/>
      <c r="EN4" s="58"/>
      <c r="EO4" s="58"/>
      <c r="EP4" s="58"/>
      <c r="EQ4" s="58"/>
      <c r="ER4" s="58"/>
      <c r="ES4" s="58"/>
      <c r="ET4" s="58"/>
      <c r="EU4" s="58"/>
      <c r="EV4" s="58"/>
      <c r="EW4" s="58"/>
      <c r="EX4" s="58"/>
      <c r="EY4" s="58"/>
      <c r="EZ4" s="58"/>
      <c r="FA4" s="58"/>
      <c r="FB4" s="58"/>
      <c r="FC4" s="58"/>
      <c r="FD4" s="58"/>
      <c r="FE4" s="58"/>
      <c r="FF4" s="58"/>
      <c r="FG4" s="58"/>
      <c r="FH4" s="58"/>
      <c r="FI4" s="58"/>
      <c r="FJ4" s="58"/>
      <c r="FK4" s="58"/>
      <c r="FL4" s="58"/>
      <c r="FM4" s="58"/>
      <c r="FN4" s="58"/>
      <c r="FO4" s="58"/>
      <c r="FP4" s="58"/>
      <c r="FQ4" s="58"/>
      <c r="FR4" s="58"/>
      <c r="FS4" s="58"/>
      <c r="FT4" s="58"/>
      <c r="FU4" s="58"/>
      <c r="FV4" s="58"/>
    </row>
    <row r="5" spans="1:178">
      <c r="A5" s="1058"/>
      <c r="B5" s="2" t="s">
        <v>305</v>
      </c>
      <c r="C5" s="362" t="s">
        <v>143</v>
      </c>
      <c r="D5" s="362"/>
      <c r="E5" s="58" t="s">
        <v>351</v>
      </c>
      <c r="F5" s="363" t="s">
        <v>1</v>
      </c>
      <c r="G5" s="363">
        <v>36300</v>
      </c>
      <c r="H5" s="363">
        <v>36700</v>
      </c>
      <c r="I5" s="363">
        <v>34100</v>
      </c>
      <c r="J5" s="363">
        <v>33500</v>
      </c>
      <c r="K5" s="363">
        <v>33200</v>
      </c>
      <c r="L5" s="363">
        <v>34250</v>
      </c>
      <c r="M5" s="363">
        <v>33910</v>
      </c>
      <c r="N5" s="363">
        <v>33560</v>
      </c>
      <c r="O5" s="363">
        <v>33150</v>
      </c>
      <c r="P5" s="363">
        <v>32700</v>
      </c>
      <c r="Q5" s="363">
        <v>32500</v>
      </c>
      <c r="R5" s="363">
        <v>31300</v>
      </c>
      <c r="S5" s="319">
        <v>31650</v>
      </c>
      <c r="T5" s="319">
        <v>32800</v>
      </c>
      <c r="U5" s="319">
        <v>26340</v>
      </c>
      <c r="V5" s="319">
        <v>28480</v>
      </c>
      <c r="W5" s="319">
        <v>20020</v>
      </c>
      <c r="X5" s="319">
        <v>25660</v>
      </c>
      <c r="Y5" s="319">
        <v>28320</v>
      </c>
      <c r="Z5" s="319">
        <v>30450</v>
      </c>
      <c r="AA5" s="319">
        <v>29180</v>
      </c>
      <c r="AB5" s="319">
        <v>31960</v>
      </c>
      <c r="AC5" s="319">
        <v>26540</v>
      </c>
      <c r="AD5" s="319">
        <v>27640</v>
      </c>
      <c r="AE5" s="319">
        <v>23620</v>
      </c>
      <c r="AF5" s="319">
        <v>28960</v>
      </c>
      <c r="AG5" s="319">
        <v>29300</v>
      </c>
      <c r="AH5" s="319">
        <v>38070</v>
      </c>
      <c r="AI5" s="319">
        <v>37660</v>
      </c>
      <c r="AJ5" s="319">
        <v>35300</v>
      </c>
      <c r="AK5" s="319">
        <v>36270</v>
      </c>
      <c r="AL5" s="319">
        <v>31820</v>
      </c>
      <c r="AM5" s="319">
        <v>30160</v>
      </c>
      <c r="AN5" s="319">
        <v>30620</v>
      </c>
      <c r="AO5" s="319">
        <v>32030</v>
      </c>
      <c r="AP5" s="319">
        <v>26430</v>
      </c>
      <c r="AQ5" s="319">
        <v>40470</v>
      </c>
      <c r="AR5" s="319">
        <v>37160</v>
      </c>
      <c r="AS5" s="319">
        <v>35280</v>
      </c>
      <c r="AT5" s="364">
        <v>37468.917824886834</v>
      </c>
      <c r="AU5" s="319">
        <v>34979.7952647251</v>
      </c>
      <c r="AV5" s="319">
        <v>36995.226789598193</v>
      </c>
      <c r="AW5" s="319">
        <v>38411.434700802383</v>
      </c>
      <c r="AX5" s="319">
        <v>43077.696672195132</v>
      </c>
      <c r="AY5" s="319">
        <v>42339.113972658684</v>
      </c>
      <c r="AZ5" s="319">
        <v>44176.800315880733</v>
      </c>
      <c r="BA5" s="319">
        <v>45449.873001355765</v>
      </c>
      <c r="BB5" s="319">
        <v>48374.835244225556</v>
      </c>
      <c r="BC5" s="319">
        <v>49736.488507928807</v>
      </c>
      <c r="BD5" s="319">
        <v>36558.702058330193</v>
      </c>
      <c r="BE5" s="319">
        <v>31387.522192377604</v>
      </c>
      <c r="BF5" s="319">
        <v>31954.700264411553</v>
      </c>
      <c r="BG5" s="319">
        <v>35488.590056570771</v>
      </c>
      <c r="BH5" s="319">
        <v>37151.720463657031</v>
      </c>
      <c r="BI5" s="319">
        <v>40224.487971509581</v>
      </c>
      <c r="BJ5" s="319">
        <v>39776.808056372938</v>
      </c>
      <c r="BK5" s="319">
        <v>32806.091323106572</v>
      </c>
      <c r="BL5" s="319">
        <v>34852.034397102398</v>
      </c>
      <c r="BM5" s="319">
        <v>32743.412011815777</v>
      </c>
      <c r="BN5" s="319">
        <v>33941.49447086802</v>
      </c>
      <c r="BO5" s="319">
        <v>36161.070807658274</v>
      </c>
      <c r="BP5" s="319">
        <v>36208.29768815585</v>
      </c>
      <c r="BQ5" s="319">
        <v>39212.402929615775</v>
      </c>
      <c r="BR5" s="319">
        <v>38005.50999905145</v>
      </c>
      <c r="BS5" s="319">
        <v>33948.919195272174</v>
      </c>
      <c r="BT5" s="319">
        <v>21830.230520384102</v>
      </c>
      <c r="BU5" s="319">
        <v>41618.000025444984</v>
      </c>
      <c r="BV5" s="319">
        <v>36293.110003071568</v>
      </c>
      <c r="BW5" s="319">
        <v>40230.560009202418</v>
      </c>
      <c r="BX5" s="319">
        <v>28984.506728422391</v>
      </c>
      <c r="BY5" s="319">
        <v>29296.224637839514</v>
      </c>
      <c r="BZ5" s="319">
        <v>28071.268352741423</v>
      </c>
      <c r="CA5" s="319">
        <v>23219.340304109319</v>
      </c>
      <c r="CB5" s="319">
        <v>27680.138169883663</v>
      </c>
      <c r="CC5" s="319">
        <v>31896.526510107997</v>
      </c>
      <c r="CD5" s="319">
        <v>36352.617012931434</v>
      </c>
      <c r="CE5" s="319">
        <v>40134.773482798308</v>
      </c>
      <c r="CF5" s="319">
        <v>42943.647213612938</v>
      </c>
      <c r="CG5" s="319">
        <v>41061.486307385807</v>
      </c>
      <c r="CH5" s="319">
        <v>43266.069260132143</v>
      </c>
      <c r="CI5" s="319">
        <v>46764.427300723</v>
      </c>
      <c r="CJ5" s="319">
        <v>49848.163616800543</v>
      </c>
      <c r="CK5" s="319">
        <v>47958.871071535585</v>
      </c>
      <c r="CL5" s="363">
        <v>49198.016422217115</v>
      </c>
      <c r="CM5" s="319">
        <f t="shared" si="0"/>
        <v>34945.713370589001</v>
      </c>
      <c r="CN5" s="75" t="s">
        <v>169</v>
      </c>
      <c r="CO5" s="365">
        <v>1.2048192771084376E-2</v>
      </c>
      <c r="CP5" s="365">
        <v>0.34285714285714275</v>
      </c>
      <c r="CQ5" s="365">
        <v>0.42105263157894746</v>
      </c>
      <c r="CR5" s="365">
        <v>0.42105263157894746</v>
      </c>
      <c r="CS5" s="75"/>
      <c r="CT5" s="75"/>
      <c r="CU5" s="75"/>
      <c r="CV5" s="75"/>
      <c r="CW5" s="75"/>
      <c r="DB5" s="75"/>
      <c r="DC5" s="75"/>
      <c r="DD5" s="75"/>
      <c r="DE5" s="75"/>
      <c r="DF5" s="75"/>
      <c r="DG5" s="75"/>
      <c r="DH5" s="75"/>
      <c r="DI5" s="75"/>
      <c r="DJ5" s="75"/>
      <c r="DK5" s="75"/>
      <c r="DL5" s="75"/>
      <c r="DM5" s="75"/>
      <c r="DN5" s="75"/>
      <c r="DO5" s="75"/>
      <c r="DP5" s="75"/>
      <c r="DQ5" s="75"/>
      <c r="DR5" s="75"/>
      <c r="DS5" s="75"/>
      <c r="DT5" s="75"/>
      <c r="DU5" s="75"/>
      <c r="DV5" s="75"/>
      <c r="DW5" s="75"/>
      <c r="DX5" s="75"/>
      <c r="DY5" s="75"/>
      <c r="DZ5" s="75"/>
      <c r="EA5" s="75"/>
      <c r="EB5" s="75"/>
      <c r="EC5" s="366">
        <v>52.32</v>
      </c>
      <c r="ED5" s="75"/>
      <c r="EE5" s="75"/>
      <c r="EF5" s="75"/>
      <c r="EG5" s="58"/>
      <c r="EH5" s="58"/>
      <c r="EI5" s="58"/>
      <c r="EJ5" s="58"/>
      <c r="EK5" s="58"/>
      <c r="EL5" s="58"/>
      <c r="EM5" s="58"/>
      <c r="EN5" s="58"/>
      <c r="EO5" s="58"/>
      <c r="EP5" s="58"/>
      <c r="EQ5" s="58"/>
      <c r="ER5" s="58"/>
      <c r="ES5" s="58"/>
      <c r="ET5" s="58"/>
      <c r="EU5" s="58"/>
      <c r="EV5" s="58"/>
      <c r="EW5" s="58"/>
      <c r="EX5" s="58"/>
      <c r="EY5" s="58"/>
      <c r="EZ5" s="58"/>
      <c r="FA5" s="58"/>
      <c r="FB5" s="58"/>
      <c r="FC5" s="58"/>
      <c r="FD5" s="58"/>
      <c r="FE5" s="58"/>
      <c r="FF5" s="58"/>
      <c r="FG5" s="58"/>
      <c r="FH5" s="58"/>
      <c r="FI5" s="58"/>
      <c r="FJ5" s="58"/>
      <c r="FK5" s="58"/>
      <c r="FL5" s="58"/>
      <c r="FM5" s="58"/>
      <c r="FN5" s="58"/>
      <c r="FO5" s="58"/>
      <c r="FP5" s="58"/>
      <c r="FQ5" s="58"/>
      <c r="FR5" s="58"/>
      <c r="FS5" s="58"/>
      <c r="FT5" s="58"/>
      <c r="FU5" s="58"/>
      <c r="FV5" s="58"/>
    </row>
    <row r="6" spans="1:178">
      <c r="A6" s="1059"/>
      <c r="B6" s="224" t="s">
        <v>307</v>
      </c>
      <c r="C6" s="367" t="s">
        <v>308</v>
      </c>
      <c r="D6" s="367"/>
      <c r="E6" s="236" t="s">
        <v>351</v>
      </c>
      <c r="F6" s="368" t="s">
        <v>309</v>
      </c>
      <c r="G6" s="368">
        <v>690</v>
      </c>
      <c r="H6" s="368">
        <v>680</v>
      </c>
      <c r="I6" s="368">
        <v>640</v>
      </c>
      <c r="J6" s="368">
        <v>620</v>
      </c>
      <c r="K6" s="368">
        <v>595</v>
      </c>
      <c r="L6" s="368">
        <v>614</v>
      </c>
      <c r="M6" s="368">
        <v>602</v>
      </c>
      <c r="N6" s="368">
        <v>591</v>
      </c>
      <c r="O6" s="368">
        <v>582</v>
      </c>
      <c r="P6" s="368">
        <v>564</v>
      </c>
      <c r="Q6" s="368">
        <v>577</v>
      </c>
      <c r="R6" s="368">
        <v>544</v>
      </c>
      <c r="S6" s="319">
        <v>549</v>
      </c>
      <c r="T6" s="369">
        <v>562</v>
      </c>
      <c r="U6" s="369">
        <v>575</v>
      </c>
      <c r="V6" s="319">
        <v>588</v>
      </c>
      <c r="W6" s="369">
        <v>600</v>
      </c>
      <c r="X6" s="369">
        <v>614</v>
      </c>
      <c r="Y6" s="369">
        <v>628</v>
      </c>
      <c r="Z6" s="369">
        <v>638</v>
      </c>
      <c r="AA6" s="369">
        <v>651</v>
      </c>
      <c r="AB6" s="369">
        <v>664</v>
      </c>
      <c r="AC6" s="369">
        <v>677</v>
      </c>
      <c r="AD6" s="319">
        <v>689</v>
      </c>
      <c r="AE6" s="369">
        <v>602</v>
      </c>
      <c r="AF6" s="369">
        <v>615</v>
      </c>
      <c r="AG6" s="369">
        <v>628</v>
      </c>
      <c r="AH6" s="319">
        <v>640</v>
      </c>
      <c r="AI6" s="369">
        <v>654</v>
      </c>
      <c r="AJ6" s="369">
        <v>644</v>
      </c>
      <c r="AK6" s="369">
        <v>679</v>
      </c>
      <c r="AL6" s="369">
        <v>691</v>
      </c>
      <c r="AM6" s="369">
        <v>704</v>
      </c>
      <c r="AN6" s="369">
        <v>717</v>
      </c>
      <c r="AO6" s="369">
        <v>629.54360858123698</v>
      </c>
      <c r="AP6" s="369">
        <v>642.28255936563301</v>
      </c>
      <c r="AQ6" s="369">
        <v>655.02151015003005</v>
      </c>
      <c r="AR6" s="369">
        <v>667.76046093442596</v>
      </c>
      <c r="AS6" s="369">
        <v>680.49941171882301</v>
      </c>
      <c r="AT6" s="369">
        <v>693.23836250321904</v>
      </c>
      <c r="AU6" s="369">
        <v>725</v>
      </c>
      <c r="AV6" s="369">
        <v>731</v>
      </c>
      <c r="AW6" s="369">
        <v>683.35192411641094</v>
      </c>
      <c r="AX6" s="369">
        <v>727.45879248730159</v>
      </c>
      <c r="AY6" s="369">
        <v>790.46535767833188</v>
      </c>
      <c r="AZ6" s="369">
        <v>835.82228336641663</v>
      </c>
      <c r="BA6" s="369">
        <v>855.64779771974872</v>
      </c>
      <c r="BB6" s="369">
        <v>831.01152604586082</v>
      </c>
      <c r="BC6" s="369">
        <v>894.32305357357711</v>
      </c>
      <c r="BD6" s="369">
        <v>848.00352710543211</v>
      </c>
      <c r="BE6" s="369">
        <v>762.53950609685091</v>
      </c>
      <c r="BF6" s="369">
        <v>747.97322905859232</v>
      </c>
      <c r="BG6" s="369">
        <v>816.24945468112071</v>
      </c>
      <c r="BH6" s="369">
        <v>713.84568622483982</v>
      </c>
      <c r="BI6" s="369">
        <v>547.77</v>
      </c>
      <c r="BJ6" s="369">
        <v>505.25</v>
      </c>
      <c r="BK6" s="369">
        <v>522.21</v>
      </c>
      <c r="BL6" s="369">
        <v>559.08000000000004</v>
      </c>
      <c r="BM6" s="369">
        <v>496.47</v>
      </c>
      <c r="BN6" s="369">
        <v>463.19</v>
      </c>
      <c r="BO6" s="369">
        <v>620.35</v>
      </c>
      <c r="BP6" s="369">
        <v>540.62</v>
      </c>
      <c r="BQ6" s="369">
        <v>605.28</v>
      </c>
      <c r="BR6" s="369">
        <v>485.79</v>
      </c>
      <c r="BS6" s="369">
        <v>478.65</v>
      </c>
      <c r="BT6" s="369">
        <v>313.06</v>
      </c>
      <c r="BU6" s="369">
        <v>546.95000000000005</v>
      </c>
      <c r="BV6" s="369">
        <v>498.46</v>
      </c>
      <c r="BW6" s="369">
        <v>285.66000000000003</v>
      </c>
      <c r="BX6" s="369">
        <v>264.85000000000002</v>
      </c>
      <c r="BY6" s="369">
        <v>334.58</v>
      </c>
      <c r="BZ6" s="369">
        <v>410.09</v>
      </c>
      <c r="CA6" s="369">
        <v>471.71</v>
      </c>
      <c r="CB6" s="369">
        <v>532.29999999999995</v>
      </c>
      <c r="CC6" s="369">
        <v>588.39</v>
      </c>
      <c r="CD6" s="369">
        <v>675.69</v>
      </c>
      <c r="CE6" s="369">
        <v>872.05</v>
      </c>
      <c r="CF6" s="369">
        <v>766.06</v>
      </c>
      <c r="CG6" s="369">
        <v>565.04999999999995</v>
      </c>
      <c r="CH6" s="369">
        <v>567.25</v>
      </c>
      <c r="CI6" s="369">
        <v>619.33000000000004</v>
      </c>
      <c r="CJ6" s="369">
        <v>708.17</v>
      </c>
      <c r="CK6" s="369">
        <v>868.98</v>
      </c>
      <c r="CL6" s="370">
        <v>938.53</v>
      </c>
      <c r="CM6" s="319">
        <f t="shared" si="0"/>
        <v>629.65307204056967</v>
      </c>
      <c r="CN6" s="58"/>
      <c r="CO6" s="58"/>
      <c r="CP6" s="58"/>
      <c r="CQ6" s="58"/>
      <c r="CR6" s="58"/>
      <c r="CS6" s="58"/>
      <c r="CT6" s="58"/>
      <c r="CU6" s="58"/>
      <c r="CV6" s="58"/>
      <c r="CW6" s="58"/>
      <c r="CX6" s="58"/>
      <c r="CY6" s="58"/>
      <c r="CZ6" s="58"/>
      <c r="DA6" s="58"/>
      <c r="DB6" s="58"/>
      <c r="DC6" s="58"/>
      <c r="DD6" s="58"/>
      <c r="DE6" s="58"/>
      <c r="DF6" s="58"/>
      <c r="DG6" s="58"/>
      <c r="DH6" s="58"/>
      <c r="DI6" s="58"/>
      <c r="DJ6" s="58"/>
      <c r="DK6" s="58"/>
      <c r="DL6" s="58"/>
      <c r="DM6" s="58"/>
      <c r="DN6" s="58"/>
      <c r="DO6" s="58"/>
      <c r="DP6" s="58"/>
      <c r="DQ6" s="58"/>
      <c r="DR6" s="58"/>
      <c r="DS6" s="58"/>
      <c r="DT6" s="58"/>
      <c r="DU6" s="58"/>
      <c r="DV6" s="58"/>
      <c r="DW6" s="58"/>
      <c r="DX6" s="58"/>
      <c r="DY6" s="58"/>
      <c r="DZ6" s="58"/>
      <c r="EA6" s="58"/>
      <c r="EB6" s="58"/>
      <c r="EC6" s="58"/>
      <c r="ED6" s="58"/>
      <c r="EE6" s="58"/>
      <c r="EF6" s="58"/>
      <c r="EG6" s="58"/>
      <c r="EH6" s="58"/>
      <c r="EI6" s="58"/>
      <c r="EJ6" s="58"/>
      <c r="EK6" s="58"/>
      <c r="EL6" s="58"/>
      <c r="EM6" s="58"/>
      <c r="EN6" s="58"/>
      <c r="EO6" s="58"/>
      <c r="EP6" s="58"/>
      <c r="EQ6" s="58"/>
      <c r="ER6" s="58"/>
      <c r="ES6" s="58"/>
      <c r="ET6" s="58"/>
      <c r="EU6" s="58"/>
      <c r="EV6" s="58"/>
      <c r="EW6" s="58"/>
      <c r="EX6" s="58"/>
      <c r="EY6" s="58"/>
      <c r="EZ6" s="58"/>
      <c r="FA6" s="58"/>
      <c r="FB6" s="58"/>
      <c r="FC6" s="58"/>
      <c r="FD6" s="58"/>
      <c r="FE6" s="58"/>
      <c r="FF6" s="58"/>
      <c r="FG6" s="58"/>
      <c r="FH6" s="58"/>
      <c r="FI6" s="58"/>
      <c r="FJ6" s="58"/>
      <c r="FK6" s="58"/>
      <c r="FL6" s="58"/>
      <c r="FM6" s="58"/>
      <c r="FN6" s="58"/>
      <c r="FO6" s="58"/>
      <c r="FP6" s="58"/>
      <c r="FQ6" s="58"/>
      <c r="FR6" s="58"/>
      <c r="FS6" s="58"/>
      <c r="FT6" s="58"/>
      <c r="FU6" s="58"/>
      <c r="FV6" s="58"/>
    </row>
    <row r="7" spans="1:178">
      <c r="A7" s="1060" t="s">
        <v>310</v>
      </c>
      <c r="B7" s="286" t="s">
        <v>307</v>
      </c>
      <c r="C7" s="356" t="s">
        <v>143</v>
      </c>
      <c r="D7" s="356"/>
      <c r="E7" s="371" t="s">
        <v>351</v>
      </c>
      <c r="F7" s="372" t="s">
        <v>138</v>
      </c>
      <c r="G7" s="373">
        <v>56500</v>
      </c>
      <c r="H7" s="373">
        <v>56300</v>
      </c>
      <c r="I7" s="373">
        <v>56100</v>
      </c>
      <c r="J7" s="373">
        <v>55900</v>
      </c>
      <c r="K7" s="373">
        <v>55800</v>
      </c>
      <c r="L7" s="373">
        <v>55600</v>
      </c>
      <c r="M7" s="373">
        <v>55200</v>
      </c>
      <c r="N7" s="373">
        <v>57300</v>
      </c>
      <c r="O7" s="373">
        <v>54100</v>
      </c>
      <c r="P7" s="373">
        <v>55200</v>
      </c>
      <c r="Q7" s="373">
        <v>52300</v>
      </c>
      <c r="R7" s="373">
        <v>45600</v>
      </c>
      <c r="S7" s="373">
        <v>47020</v>
      </c>
      <c r="T7" s="373">
        <v>45750</v>
      </c>
      <c r="U7" s="373">
        <v>46150</v>
      </c>
      <c r="V7" s="373">
        <v>45650</v>
      </c>
      <c r="W7" s="373">
        <v>36940</v>
      </c>
      <c r="X7" s="373">
        <v>36950</v>
      </c>
      <c r="Y7" s="373">
        <v>37390</v>
      </c>
      <c r="Z7" s="373">
        <v>37950</v>
      </c>
      <c r="AA7" s="373">
        <v>38680</v>
      </c>
      <c r="AB7" s="373">
        <v>39250</v>
      </c>
      <c r="AC7" s="373">
        <v>39610</v>
      </c>
      <c r="AD7" s="373">
        <v>39920</v>
      </c>
      <c r="AE7" s="373">
        <v>39990</v>
      </c>
      <c r="AF7" s="373">
        <v>40250</v>
      </c>
      <c r="AG7" s="373">
        <v>41270</v>
      </c>
      <c r="AH7" s="373">
        <v>42350</v>
      </c>
      <c r="AI7" s="373">
        <v>57680</v>
      </c>
      <c r="AJ7" s="373">
        <v>60070</v>
      </c>
      <c r="AK7" s="373">
        <v>58600</v>
      </c>
      <c r="AL7" s="373">
        <v>56250</v>
      </c>
      <c r="AM7" s="373">
        <v>54760</v>
      </c>
      <c r="AN7" s="373">
        <v>53400</v>
      </c>
      <c r="AO7" s="373">
        <v>52470</v>
      </c>
      <c r="AP7" s="373">
        <v>51630</v>
      </c>
      <c r="AQ7" s="373">
        <v>52140</v>
      </c>
      <c r="AR7" s="373">
        <v>52030</v>
      </c>
      <c r="AS7" s="373">
        <v>51990</v>
      </c>
      <c r="AT7" s="373">
        <v>57152</v>
      </c>
      <c r="AU7" s="373">
        <v>58526</v>
      </c>
      <c r="AV7" s="373">
        <v>58277</v>
      </c>
      <c r="AW7" s="373">
        <v>55909</v>
      </c>
      <c r="AX7" s="373">
        <v>55303</v>
      </c>
      <c r="AY7" s="373">
        <v>58424</v>
      </c>
      <c r="AZ7" s="373">
        <v>56706</v>
      </c>
      <c r="BA7" s="373">
        <v>57565</v>
      </c>
      <c r="BB7" s="373">
        <v>61481</v>
      </c>
      <c r="BC7" s="373">
        <v>61877</v>
      </c>
      <c r="BD7" s="373">
        <v>61367</v>
      </c>
      <c r="BE7" s="373">
        <v>49658</v>
      </c>
      <c r="BF7" s="373">
        <v>41296</v>
      </c>
      <c r="BG7" s="373">
        <v>39412</v>
      </c>
      <c r="BH7" s="373">
        <v>42670</v>
      </c>
      <c r="BI7" s="373">
        <v>42621</v>
      </c>
      <c r="BJ7" s="373">
        <v>43930</v>
      </c>
      <c r="BK7" s="373">
        <v>44300</v>
      </c>
      <c r="BL7" s="373">
        <v>44000</v>
      </c>
      <c r="BM7" s="373">
        <v>46900</v>
      </c>
      <c r="BN7" s="373">
        <v>48100</v>
      </c>
      <c r="BO7" s="373">
        <v>52100</v>
      </c>
      <c r="BP7" s="373">
        <v>48600</v>
      </c>
      <c r="BQ7" s="373">
        <v>47000</v>
      </c>
      <c r="BR7" s="373">
        <v>52400</v>
      </c>
      <c r="BS7" s="373">
        <v>52900</v>
      </c>
      <c r="BT7" s="373">
        <v>48400</v>
      </c>
      <c r="BU7" s="373">
        <v>37400</v>
      </c>
      <c r="BV7" s="373">
        <v>24900</v>
      </c>
      <c r="BW7" s="373">
        <v>30300</v>
      </c>
      <c r="BX7" s="373">
        <v>33900</v>
      </c>
      <c r="BY7" s="373">
        <v>33100</v>
      </c>
      <c r="BZ7" s="373">
        <v>34400</v>
      </c>
      <c r="CA7" s="373">
        <v>32600</v>
      </c>
      <c r="CB7" s="373">
        <v>32500</v>
      </c>
      <c r="CC7" s="373">
        <v>40800</v>
      </c>
      <c r="CD7" s="373">
        <v>47900</v>
      </c>
      <c r="CE7" s="373">
        <v>48900</v>
      </c>
      <c r="CF7" s="373">
        <v>57200</v>
      </c>
      <c r="CG7" s="373">
        <v>62200</v>
      </c>
      <c r="CH7" s="373">
        <v>70100</v>
      </c>
      <c r="CI7" s="373">
        <v>75100</v>
      </c>
      <c r="CJ7" s="373">
        <v>71430</v>
      </c>
      <c r="CK7" s="373">
        <v>78990</v>
      </c>
      <c r="CL7" s="373">
        <v>72940</v>
      </c>
      <c r="CM7" s="373">
        <f t="shared" si="0"/>
        <v>49804.452380952382</v>
      </c>
      <c r="CN7" s="58"/>
      <c r="CO7" s="58"/>
      <c r="CP7" s="58"/>
      <c r="CQ7" s="58"/>
      <c r="CR7" s="58"/>
      <c r="CS7" s="58"/>
      <c r="CT7" s="58"/>
      <c r="CU7" s="58"/>
      <c r="CV7" s="58"/>
      <c r="CW7" s="58"/>
      <c r="CX7" s="58"/>
      <c r="CY7" s="58"/>
      <c r="CZ7" s="58"/>
      <c r="DA7" s="58"/>
      <c r="DB7" s="58"/>
      <c r="DC7" s="58"/>
      <c r="DD7" s="58"/>
      <c r="DE7" s="58"/>
      <c r="DF7" s="58"/>
      <c r="DG7" s="58"/>
      <c r="DH7" s="58"/>
      <c r="DI7" s="58"/>
      <c r="DJ7" s="58"/>
      <c r="DK7" s="58"/>
      <c r="DL7" s="58"/>
      <c r="DM7" s="58"/>
      <c r="DN7" s="58"/>
      <c r="DO7" s="58"/>
      <c r="DP7" s="58"/>
      <c r="DQ7" s="58"/>
      <c r="DR7" s="58"/>
      <c r="DS7" s="58"/>
      <c r="DT7" s="58"/>
      <c r="DU7" s="58"/>
      <c r="DV7" s="58"/>
      <c r="DW7" s="58"/>
      <c r="DX7" s="58"/>
      <c r="DY7" s="58"/>
      <c r="DZ7" s="58"/>
      <c r="EA7" s="58"/>
      <c r="EB7" s="58"/>
      <c r="EC7" s="58"/>
      <c r="ED7" s="58"/>
      <c r="EE7" s="58"/>
      <c r="EF7" s="58"/>
      <c r="EG7" s="58"/>
      <c r="EH7" s="58"/>
      <c r="EI7" s="58"/>
      <c r="EJ7" s="58"/>
      <c r="EK7" s="58"/>
      <c r="EL7" s="58"/>
      <c r="EM7" s="58"/>
      <c r="EN7" s="58"/>
      <c r="EO7" s="58"/>
      <c r="EP7" s="58"/>
      <c r="EQ7" s="58"/>
      <c r="ER7" s="58"/>
      <c r="ES7" s="58"/>
      <c r="ET7" s="58"/>
      <c r="EU7" s="58"/>
      <c r="EV7" s="58"/>
      <c r="EW7" s="58"/>
      <c r="EX7" s="58"/>
      <c r="EY7" s="58"/>
      <c r="EZ7" s="58"/>
      <c r="FA7" s="58"/>
      <c r="FB7" s="58"/>
      <c r="FC7" s="58"/>
      <c r="FD7" s="58"/>
      <c r="FE7" s="58"/>
      <c r="FF7" s="58"/>
      <c r="FG7" s="58"/>
      <c r="FH7" s="58"/>
      <c r="FI7" s="58"/>
      <c r="FJ7" s="58"/>
      <c r="FK7" s="58"/>
      <c r="FL7" s="58"/>
      <c r="FM7" s="58"/>
      <c r="FN7" s="58"/>
      <c r="FO7" s="58"/>
      <c r="FP7" s="58"/>
      <c r="FQ7" s="58"/>
      <c r="FR7" s="58"/>
      <c r="FS7" s="58"/>
      <c r="FT7" s="58"/>
      <c r="FU7" s="58"/>
      <c r="FV7" s="58"/>
    </row>
    <row r="8" spans="1:178">
      <c r="A8" s="1061"/>
      <c r="B8" s="2" t="s">
        <v>307</v>
      </c>
      <c r="C8" s="362" t="s">
        <v>143</v>
      </c>
      <c r="D8" s="362"/>
      <c r="E8" s="235" t="s">
        <v>351</v>
      </c>
      <c r="F8" s="380" t="s">
        <v>407</v>
      </c>
      <c r="G8" s="376">
        <v>78900</v>
      </c>
      <c r="H8" s="376">
        <v>75500</v>
      </c>
      <c r="I8" s="376">
        <v>76300</v>
      </c>
      <c r="J8" s="376">
        <v>77300</v>
      </c>
      <c r="K8" s="376">
        <v>74500</v>
      </c>
      <c r="L8" s="376">
        <v>78800</v>
      </c>
      <c r="M8" s="376">
        <v>75500</v>
      </c>
      <c r="N8" s="376">
        <v>77200</v>
      </c>
      <c r="O8" s="376">
        <v>71900</v>
      </c>
      <c r="P8" s="376">
        <v>74600</v>
      </c>
      <c r="Q8" s="376">
        <v>72500</v>
      </c>
      <c r="R8" s="376">
        <v>70300</v>
      </c>
      <c r="S8" s="376">
        <v>69049</v>
      </c>
      <c r="T8" s="376">
        <v>68803</v>
      </c>
      <c r="U8" s="376">
        <v>60570</v>
      </c>
      <c r="V8" s="376">
        <v>69050</v>
      </c>
      <c r="W8" s="376">
        <v>64550</v>
      </c>
      <c r="X8" s="376">
        <v>64300</v>
      </c>
      <c r="Y8" s="376">
        <v>69051</v>
      </c>
      <c r="Z8" s="376">
        <v>64800</v>
      </c>
      <c r="AA8" s="376">
        <v>67700</v>
      </c>
      <c r="AB8" s="376">
        <v>69052</v>
      </c>
      <c r="AC8" s="376">
        <v>69405</v>
      </c>
      <c r="AD8" s="376">
        <v>63700</v>
      </c>
      <c r="AE8" s="376">
        <v>69053</v>
      </c>
      <c r="AF8" s="376">
        <v>62939</v>
      </c>
      <c r="AG8" s="376">
        <v>65350</v>
      </c>
      <c r="AH8" s="376">
        <v>69054</v>
      </c>
      <c r="AI8" s="376">
        <v>63700</v>
      </c>
      <c r="AJ8" s="376">
        <v>61750</v>
      </c>
      <c r="AK8" s="376">
        <v>69055</v>
      </c>
      <c r="AL8" s="376">
        <v>68800</v>
      </c>
      <c r="AM8" s="376">
        <v>63500</v>
      </c>
      <c r="AN8" s="376">
        <v>69056</v>
      </c>
      <c r="AO8" s="376">
        <v>64500</v>
      </c>
      <c r="AP8" s="376">
        <v>64580</v>
      </c>
      <c r="AQ8" s="376">
        <v>69057</v>
      </c>
      <c r="AR8" s="376">
        <v>62925</v>
      </c>
      <c r="AS8" s="376">
        <v>71158</v>
      </c>
      <c r="AT8" s="376">
        <v>69058</v>
      </c>
      <c r="AU8" s="376">
        <v>79391</v>
      </c>
      <c r="AV8" s="376">
        <v>87624</v>
      </c>
      <c r="AW8" s="376">
        <v>91678</v>
      </c>
      <c r="AX8" s="376">
        <v>90255</v>
      </c>
      <c r="AY8" s="376">
        <v>110428</v>
      </c>
      <c r="AZ8" s="376">
        <v>113142</v>
      </c>
      <c r="BA8" s="376">
        <v>109389</v>
      </c>
      <c r="BB8" s="376">
        <v>117818</v>
      </c>
      <c r="BC8" s="376">
        <v>104990</v>
      </c>
      <c r="BD8" s="376">
        <v>79612</v>
      </c>
      <c r="BE8" s="376">
        <v>76089</v>
      </c>
      <c r="BF8" s="376">
        <v>79660</v>
      </c>
      <c r="BG8" s="376">
        <v>80367</v>
      </c>
      <c r="BH8" s="376">
        <v>75404</v>
      </c>
      <c r="BI8" s="376">
        <v>71634</v>
      </c>
      <c r="BJ8" s="376">
        <v>63615</v>
      </c>
      <c r="BK8" s="376">
        <v>66900</v>
      </c>
      <c r="BL8" s="376">
        <v>74300</v>
      </c>
      <c r="BM8" s="376">
        <v>76800</v>
      </c>
      <c r="BN8" s="376">
        <v>85000</v>
      </c>
      <c r="BO8" s="376">
        <v>87600</v>
      </c>
      <c r="BP8" s="376">
        <v>81700</v>
      </c>
      <c r="BQ8" s="376">
        <v>62200</v>
      </c>
      <c r="BR8" s="376">
        <v>63400</v>
      </c>
      <c r="BS8" s="376">
        <v>65100</v>
      </c>
      <c r="BT8" s="376">
        <v>56000</v>
      </c>
      <c r="BU8" s="376">
        <v>50100</v>
      </c>
      <c r="BV8" s="376">
        <v>28400</v>
      </c>
      <c r="BW8" s="376">
        <v>21600</v>
      </c>
      <c r="BX8" s="376">
        <v>22700</v>
      </c>
      <c r="BY8" s="376">
        <v>28600</v>
      </c>
      <c r="BZ8" s="376">
        <v>40200</v>
      </c>
      <c r="CA8" s="376">
        <v>50700</v>
      </c>
      <c r="CB8" s="376">
        <v>66900</v>
      </c>
      <c r="CC8" s="376">
        <v>94800</v>
      </c>
      <c r="CD8" s="376">
        <v>86100</v>
      </c>
      <c r="CE8" s="376">
        <v>58900</v>
      </c>
      <c r="CF8" s="376">
        <v>57400</v>
      </c>
      <c r="CG8" s="376">
        <v>80900</v>
      </c>
      <c r="CH8" s="376">
        <v>72100</v>
      </c>
      <c r="CI8" s="376">
        <v>73600</v>
      </c>
      <c r="CJ8" s="376">
        <v>88040</v>
      </c>
      <c r="CK8" s="376">
        <v>107190</v>
      </c>
      <c r="CL8" s="376">
        <v>116560</v>
      </c>
      <c r="CM8" s="376">
        <f t="shared" si="0"/>
        <v>72163.702380952382</v>
      </c>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c r="DP8" s="58"/>
      <c r="DQ8" s="58"/>
      <c r="DR8" s="58"/>
      <c r="DS8" s="58"/>
      <c r="DT8" s="58"/>
      <c r="DU8" s="58"/>
      <c r="DV8" s="58"/>
      <c r="DW8" s="58"/>
      <c r="DX8" s="58"/>
      <c r="DY8" s="58"/>
      <c r="DZ8" s="58"/>
      <c r="EA8" s="58"/>
      <c r="EB8" s="58"/>
      <c r="EC8" s="58"/>
      <c r="ED8" s="58"/>
      <c r="EE8" s="58"/>
      <c r="EF8" s="58"/>
      <c r="EG8" s="58"/>
      <c r="EH8" s="58"/>
      <c r="EI8" s="58"/>
      <c r="EJ8" s="58"/>
      <c r="EK8" s="58"/>
      <c r="EL8" s="58"/>
      <c r="EM8" s="58"/>
      <c r="EN8" s="58"/>
      <c r="EO8" s="58"/>
      <c r="EP8" s="58"/>
      <c r="EQ8" s="58"/>
      <c r="ER8" s="58"/>
      <c r="ES8" s="58"/>
      <c r="ET8" s="58"/>
      <c r="EU8" s="58"/>
      <c r="EV8" s="58"/>
      <c r="EW8" s="58"/>
      <c r="EX8" s="58"/>
      <c r="EY8" s="58"/>
      <c r="EZ8" s="58"/>
      <c r="FA8" s="58"/>
      <c r="FB8" s="58"/>
      <c r="FC8" s="58"/>
      <c r="FD8" s="58"/>
      <c r="FE8" s="58"/>
      <c r="FF8" s="58"/>
      <c r="FG8" s="58"/>
      <c r="FH8" s="58"/>
      <c r="FI8" s="58"/>
      <c r="FJ8" s="58"/>
      <c r="FK8" s="58"/>
      <c r="FL8" s="58"/>
      <c r="FM8" s="58"/>
      <c r="FN8" s="58"/>
      <c r="FO8" s="58"/>
      <c r="FP8" s="58"/>
      <c r="FQ8" s="58"/>
      <c r="FR8" s="58"/>
      <c r="FS8" s="58"/>
      <c r="FT8" s="58"/>
      <c r="FU8" s="58"/>
      <c r="FV8" s="58"/>
    </row>
    <row r="9" spans="1:178">
      <c r="A9" s="1061"/>
      <c r="B9" s="2" t="s">
        <v>307</v>
      </c>
      <c r="C9" s="362" t="s">
        <v>143</v>
      </c>
      <c r="D9" s="362"/>
      <c r="E9" s="235" t="s">
        <v>351</v>
      </c>
      <c r="F9" s="380" t="s">
        <v>137</v>
      </c>
      <c r="G9" s="376">
        <v>24398.880000000001</v>
      </c>
      <c r="H9" s="376">
        <v>25035.784242424201</v>
      </c>
      <c r="I9" s="376">
        <v>25672.688484848499</v>
      </c>
      <c r="J9" s="376">
        <v>26309.592727272699</v>
      </c>
      <c r="K9" s="376">
        <v>26946.496969697</v>
      </c>
      <c r="L9" s="376">
        <v>27583.4012121212</v>
      </c>
      <c r="M9" s="376">
        <v>28220.305454545502</v>
      </c>
      <c r="N9" s="376">
        <v>28857.209696969701</v>
      </c>
      <c r="O9" s="376">
        <v>29494.113939393901</v>
      </c>
      <c r="P9" s="376">
        <v>30131.018181818199</v>
      </c>
      <c r="Q9" s="376">
        <v>30767.922424242399</v>
      </c>
      <c r="R9" s="376">
        <v>31404.8266666667</v>
      </c>
      <c r="S9" s="376">
        <v>31722.6</v>
      </c>
      <c r="T9" s="376">
        <v>32547.5</v>
      </c>
      <c r="U9" s="376">
        <v>34500</v>
      </c>
      <c r="V9" s="376">
        <v>33372.400000000001</v>
      </c>
      <c r="W9" s="376">
        <v>34197.300000000003</v>
      </c>
      <c r="X9" s="376">
        <v>35022.199999999997</v>
      </c>
      <c r="Y9" s="376">
        <v>35847.1</v>
      </c>
      <c r="Z9" s="376">
        <v>37700</v>
      </c>
      <c r="AA9" s="376">
        <v>36672</v>
      </c>
      <c r="AB9" s="376">
        <v>37496.9</v>
      </c>
      <c r="AC9" s="376">
        <v>38321.800000000003</v>
      </c>
      <c r="AD9" s="376">
        <v>39146.699999999997</v>
      </c>
      <c r="AE9" s="376">
        <v>35300</v>
      </c>
      <c r="AF9" s="376">
        <v>39971.599999999999</v>
      </c>
      <c r="AG9" s="376">
        <v>40796.5</v>
      </c>
      <c r="AH9" s="376">
        <v>41621.4</v>
      </c>
      <c r="AI9" s="376">
        <v>42446.3</v>
      </c>
      <c r="AJ9" s="376">
        <v>38276</v>
      </c>
      <c r="AK9" s="376">
        <v>40271.199999999997</v>
      </c>
      <c r="AL9" s="376">
        <v>40096.1</v>
      </c>
      <c r="AM9" s="376">
        <v>41921</v>
      </c>
      <c r="AN9" s="376">
        <v>40745.9</v>
      </c>
      <c r="AO9" s="376">
        <v>40250</v>
      </c>
      <c r="AP9" s="376">
        <v>41570.800000000003</v>
      </c>
      <c r="AQ9" s="376">
        <v>39395.699999999997</v>
      </c>
      <c r="AR9" s="376">
        <v>38220.6</v>
      </c>
      <c r="AS9" s="376">
        <v>39045.5</v>
      </c>
      <c r="AT9" s="376">
        <v>40278</v>
      </c>
      <c r="AU9" s="376">
        <v>40825</v>
      </c>
      <c r="AV9" s="376">
        <v>39651</v>
      </c>
      <c r="AW9" s="376">
        <v>40745</v>
      </c>
      <c r="AX9" s="376">
        <v>43210</v>
      </c>
      <c r="AY9" s="376">
        <v>49220</v>
      </c>
      <c r="AZ9" s="376">
        <v>47166</v>
      </c>
      <c r="BA9" s="376">
        <v>48765</v>
      </c>
      <c r="BB9" s="376">
        <v>49461</v>
      </c>
      <c r="BC9" s="376">
        <v>53775</v>
      </c>
      <c r="BD9" s="376">
        <v>54370</v>
      </c>
      <c r="BE9" s="376">
        <v>41640</v>
      </c>
      <c r="BF9" s="376">
        <v>37117</v>
      </c>
      <c r="BG9" s="376">
        <v>37203</v>
      </c>
      <c r="BH9" s="376">
        <v>40633</v>
      </c>
      <c r="BI9" s="376">
        <v>41946</v>
      </c>
      <c r="BJ9" s="376">
        <v>44260</v>
      </c>
      <c r="BK9" s="376">
        <v>46500</v>
      </c>
      <c r="BL9" s="376">
        <v>40900</v>
      </c>
      <c r="BM9" s="376">
        <v>43100</v>
      </c>
      <c r="BN9" s="376">
        <v>41200</v>
      </c>
      <c r="BO9" s="376">
        <v>43200</v>
      </c>
      <c r="BP9" s="376">
        <v>43200</v>
      </c>
      <c r="BQ9" s="376">
        <v>45400</v>
      </c>
      <c r="BR9" s="376">
        <v>48300</v>
      </c>
      <c r="BS9" s="376">
        <v>47500</v>
      </c>
      <c r="BT9" s="376">
        <v>43200</v>
      </c>
      <c r="BU9" s="376">
        <v>30300</v>
      </c>
      <c r="BV9" s="376">
        <v>20000</v>
      </c>
      <c r="BW9" s="376">
        <v>25600</v>
      </c>
      <c r="BX9" s="376">
        <v>36800</v>
      </c>
      <c r="BY9" s="376">
        <v>39400</v>
      </c>
      <c r="BZ9" s="376">
        <v>39300</v>
      </c>
      <c r="CA9" s="376">
        <v>38800</v>
      </c>
      <c r="CB9" s="376">
        <v>38500</v>
      </c>
      <c r="CC9" s="376">
        <v>34300</v>
      </c>
      <c r="CD9" s="376">
        <v>37200</v>
      </c>
      <c r="CE9" s="376">
        <v>42600</v>
      </c>
      <c r="CF9" s="376">
        <v>46400</v>
      </c>
      <c r="CG9" s="376">
        <v>47800</v>
      </c>
      <c r="CH9" s="376">
        <v>47000</v>
      </c>
      <c r="CI9" s="376">
        <v>49100</v>
      </c>
      <c r="CJ9" s="376">
        <v>52210</v>
      </c>
      <c r="CK9" s="376">
        <v>56230</v>
      </c>
      <c r="CL9" s="376">
        <v>53120</v>
      </c>
      <c r="CM9" s="376">
        <f t="shared" si="0"/>
        <v>39151.45642857143</v>
      </c>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c r="EB9" s="58"/>
      <c r="EC9" s="58"/>
      <c r="ED9" s="58"/>
      <c r="EE9" s="58"/>
      <c r="EF9" s="58"/>
      <c r="EG9" s="58"/>
      <c r="EH9" s="58"/>
      <c r="EI9" s="58"/>
      <c r="EJ9" s="58"/>
      <c r="EK9" s="58"/>
      <c r="EL9" s="58"/>
      <c r="EM9" s="58"/>
      <c r="EN9" s="58"/>
      <c r="EO9" s="58"/>
      <c r="EP9" s="58"/>
      <c r="EQ9" s="58"/>
      <c r="ER9" s="58"/>
      <c r="ES9" s="58"/>
      <c r="ET9" s="58"/>
      <c r="EU9" s="58"/>
      <c r="EV9" s="58"/>
      <c r="EW9" s="58"/>
      <c r="EX9" s="58"/>
      <c r="EY9" s="58"/>
      <c r="EZ9" s="58"/>
      <c r="FA9" s="58"/>
      <c r="FB9" s="58"/>
      <c r="FC9" s="58"/>
      <c r="FD9" s="58"/>
      <c r="FE9" s="58"/>
      <c r="FF9" s="58"/>
      <c r="FG9" s="58"/>
      <c r="FH9" s="58"/>
      <c r="FI9" s="58"/>
      <c r="FJ9" s="58"/>
      <c r="FK9" s="58"/>
      <c r="FL9" s="58"/>
      <c r="FM9" s="58"/>
      <c r="FN9" s="58"/>
      <c r="FO9" s="58"/>
      <c r="FP9" s="58"/>
      <c r="FQ9" s="58"/>
      <c r="FR9" s="58"/>
      <c r="FS9" s="58"/>
      <c r="FT9" s="58"/>
      <c r="FU9" s="58"/>
      <c r="FV9" s="58"/>
    </row>
    <row r="10" spans="1:178">
      <c r="A10" s="1061"/>
      <c r="B10" s="2" t="s">
        <v>307</v>
      </c>
      <c r="C10" s="362" t="s">
        <v>143</v>
      </c>
      <c r="D10" s="362"/>
      <c r="E10" s="235" t="s">
        <v>351</v>
      </c>
      <c r="F10" s="380" t="s">
        <v>136</v>
      </c>
      <c r="G10" s="376">
        <v>37759.000000000102</v>
      </c>
      <c r="H10" s="376">
        <v>36931.1292929294</v>
      </c>
      <c r="I10" s="376">
        <v>36103.258585858697</v>
      </c>
      <c r="J10" s="376">
        <v>35275.3878787879</v>
      </c>
      <c r="K10" s="376">
        <v>34447.517171717198</v>
      </c>
      <c r="L10" s="376">
        <v>33619.646464646503</v>
      </c>
      <c r="M10" s="376">
        <v>32791.775757575801</v>
      </c>
      <c r="N10" s="376">
        <v>31963.905050505098</v>
      </c>
      <c r="O10" s="376">
        <v>31136.034343434399</v>
      </c>
      <c r="P10" s="376">
        <v>30308.163636363701</v>
      </c>
      <c r="Q10" s="376">
        <v>29480.292929292998</v>
      </c>
      <c r="R10" s="376">
        <v>28652.422222222202</v>
      </c>
      <c r="S10" s="376">
        <v>31782.666666666701</v>
      </c>
      <c r="T10" s="376">
        <v>31356.666666666701</v>
      </c>
      <c r="U10" s="376">
        <v>22930</v>
      </c>
      <c r="V10" s="376">
        <v>22278</v>
      </c>
      <c r="W10" s="376">
        <v>20505</v>
      </c>
      <c r="X10" s="376">
        <v>21079</v>
      </c>
      <c r="Y10" s="376">
        <v>22653</v>
      </c>
      <c r="Z10" s="376">
        <v>22279</v>
      </c>
      <c r="AA10" s="376">
        <v>22327</v>
      </c>
      <c r="AB10" s="376">
        <v>23801</v>
      </c>
      <c r="AC10" s="376">
        <v>22740</v>
      </c>
      <c r="AD10" s="376">
        <v>22280</v>
      </c>
      <c r="AE10" s="376">
        <v>21799</v>
      </c>
      <c r="AF10" s="376">
        <v>21523</v>
      </c>
      <c r="AG10" s="376">
        <v>23055</v>
      </c>
      <c r="AH10" s="376">
        <v>22281</v>
      </c>
      <c r="AI10" s="376">
        <v>21450</v>
      </c>
      <c r="AJ10" s="376">
        <v>22640</v>
      </c>
      <c r="AK10" s="376">
        <v>25818.666666666701</v>
      </c>
      <c r="AL10" s="376">
        <v>22282</v>
      </c>
      <c r="AM10" s="376">
        <v>25392.666666666701</v>
      </c>
      <c r="AN10" s="376">
        <v>24966.666666666701</v>
      </c>
      <c r="AO10" s="376">
        <v>24540.666666666701</v>
      </c>
      <c r="AP10" s="376">
        <v>22283</v>
      </c>
      <c r="AQ10" s="376">
        <v>24114.666666666701</v>
      </c>
      <c r="AR10" s="376">
        <v>23688.666666666701</v>
      </c>
      <c r="AS10" s="376">
        <v>23262.666666666701</v>
      </c>
      <c r="AT10" s="376">
        <v>22284</v>
      </c>
      <c r="AU10" s="376">
        <v>23133</v>
      </c>
      <c r="AV10" s="376">
        <v>21818</v>
      </c>
      <c r="AW10" s="376">
        <v>22281</v>
      </c>
      <c r="AX10" s="376">
        <v>24177</v>
      </c>
      <c r="AY10" s="376">
        <v>28071</v>
      </c>
      <c r="AZ10" s="376">
        <v>28045</v>
      </c>
      <c r="BA10" s="376">
        <v>29524</v>
      </c>
      <c r="BB10" s="376">
        <v>28439</v>
      </c>
      <c r="BC10" s="376">
        <v>30668</v>
      </c>
      <c r="BD10" s="376">
        <v>33226</v>
      </c>
      <c r="BE10" s="376">
        <v>28437</v>
      </c>
      <c r="BF10" s="376">
        <v>23915</v>
      </c>
      <c r="BG10" s="376">
        <v>25268</v>
      </c>
      <c r="BH10" s="376">
        <v>28957</v>
      </c>
      <c r="BI10" s="376">
        <v>29150</v>
      </c>
      <c r="BJ10" s="376">
        <v>30044</v>
      </c>
      <c r="BK10" s="376">
        <v>28400</v>
      </c>
      <c r="BL10" s="376">
        <v>25400</v>
      </c>
      <c r="BM10" s="376">
        <v>26700</v>
      </c>
      <c r="BN10" s="376">
        <v>22400</v>
      </c>
      <c r="BO10" s="376">
        <v>24500</v>
      </c>
      <c r="BP10" s="376">
        <v>21200</v>
      </c>
      <c r="BQ10" s="376">
        <v>18600</v>
      </c>
      <c r="BR10" s="376">
        <v>21400</v>
      </c>
      <c r="BS10" s="376">
        <v>22400</v>
      </c>
      <c r="BT10" s="376">
        <v>23100</v>
      </c>
      <c r="BU10" s="376">
        <v>14400</v>
      </c>
      <c r="BV10" s="376">
        <v>10800</v>
      </c>
      <c r="BW10" s="376">
        <v>14100</v>
      </c>
      <c r="BX10" s="376">
        <v>18300</v>
      </c>
      <c r="BY10" s="376">
        <v>20100</v>
      </c>
      <c r="BZ10" s="376">
        <v>21300</v>
      </c>
      <c r="CA10" s="376">
        <v>20000</v>
      </c>
      <c r="CB10" s="376">
        <v>20600</v>
      </c>
      <c r="CC10" s="376">
        <v>21500</v>
      </c>
      <c r="CD10" s="376">
        <v>23400</v>
      </c>
      <c r="CE10" s="376">
        <v>24700</v>
      </c>
      <c r="CF10" s="376">
        <v>27200</v>
      </c>
      <c r="CG10" s="376">
        <v>28300</v>
      </c>
      <c r="CH10" s="376">
        <v>29000</v>
      </c>
      <c r="CI10" s="376">
        <v>29700</v>
      </c>
      <c r="CJ10" s="376">
        <v>31350</v>
      </c>
      <c r="CK10" s="376">
        <v>30470</v>
      </c>
      <c r="CL10" s="376">
        <v>31250</v>
      </c>
      <c r="CM10" s="376">
        <f t="shared" si="0"/>
        <v>25495.053968253982</v>
      </c>
      <c r="CN10" s="58"/>
      <c r="CO10" s="58"/>
      <c r="CP10" s="58"/>
      <c r="CQ10" s="58"/>
      <c r="CR10" s="58"/>
      <c r="CS10" s="58"/>
      <c r="CT10" s="58"/>
      <c r="CU10" s="58"/>
      <c r="CV10" s="58"/>
      <c r="CW10" s="58"/>
      <c r="CX10" s="58"/>
      <c r="CY10" s="58"/>
      <c r="CZ10" s="58"/>
      <c r="DA10" s="58"/>
      <c r="DB10" s="58"/>
      <c r="DC10" s="58"/>
      <c r="DD10" s="58"/>
      <c r="DE10" s="58"/>
      <c r="DF10" s="58"/>
      <c r="DG10" s="58"/>
      <c r="DH10" s="58"/>
      <c r="DI10" s="58"/>
      <c r="DJ10" s="58"/>
      <c r="DK10" s="58"/>
      <c r="DL10" s="58"/>
      <c r="DM10" s="58"/>
      <c r="DN10" s="58"/>
      <c r="DO10" s="58"/>
      <c r="DP10" s="58"/>
      <c r="DQ10" s="58"/>
      <c r="DR10" s="58"/>
      <c r="DS10" s="58"/>
      <c r="DT10" s="58"/>
      <c r="DU10" s="58"/>
      <c r="DV10" s="58"/>
      <c r="DW10" s="58"/>
      <c r="DX10" s="58"/>
      <c r="DY10" s="58"/>
      <c r="DZ10" s="58"/>
      <c r="EA10" s="58"/>
      <c r="EB10" s="58"/>
      <c r="EC10" s="58"/>
      <c r="ED10" s="58"/>
      <c r="EE10" s="58"/>
      <c r="EF10" s="58"/>
      <c r="EG10" s="58"/>
      <c r="EH10" s="58"/>
      <c r="EI10" s="58"/>
      <c r="EJ10" s="58"/>
      <c r="EK10" s="58"/>
      <c r="EL10" s="58"/>
      <c r="EM10" s="58"/>
      <c r="EN10" s="58"/>
      <c r="EO10" s="58"/>
      <c r="EP10" s="58"/>
      <c r="EQ10" s="58"/>
      <c r="ER10" s="58"/>
      <c r="ES10" s="58"/>
      <c r="ET10" s="58"/>
      <c r="EU10" s="58"/>
      <c r="EV10" s="58"/>
      <c r="EW10" s="58"/>
      <c r="EX10" s="58"/>
      <c r="EY10" s="58"/>
      <c r="EZ10" s="58"/>
      <c r="FA10" s="58"/>
      <c r="FB10" s="58"/>
      <c r="FC10" s="58"/>
      <c r="FD10" s="58"/>
      <c r="FE10" s="58"/>
      <c r="FF10" s="58"/>
      <c r="FG10" s="58"/>
      <c r="FH10" s="58"/>
      <c r="FI10" s="58"/>
      <c r="FJ10" s="58"/>
      <c r="FK10" s="58"/>
      <c r="FL10" s="58"/>
      <c r="FM10" s="58"/>
      <c r="FN10" s="58"/>
      <c r="FO10" s="58"/>
      <c r="FP10" s="58"/>
      <c r="FQ10" s="58"/>
      <c r="FR10" s="58"/>
      <c r="FS10" s="58"/>
      <c r="FT10" s="58"/>
      <c r="FU10" s="58"/>
      <c r="FV10" s="58"/>
    </row>
    <row r="11" spans="1:178">
      <c r="A11" s="1062"/>
      <c r="B11" s="224" t="s">
        <v>307</v>
      </c>
      <c r="C11" s="367" t="s">
        <v>143</v>
      </c>
      <c r="D11" s="367"/>
      <c r="E11" s="336" t="s">
        <v>351</v>
      </c>
      <c r="F11" s="386" t="s">
        <v>135</v>
      </c>
      <c r="G11" s="387">
        <v>32175.4666666667</v>
      </c>
      <c r="H11" s="387">
        <v>32270.216161616201</v>
      </c>
      <c r="I11" s="387">
        <v>32364.965656565699</v>
      </c>
      <c r="J11" s="387">
        <v>32459.7151515152</v>
      </c>
      <c r="K11" s="387">
        <v>32554.464646464701</v>
      </c>
      <c r="L11" s="387">
        <v>32649.214141414199</v>
      </c>
      <c r="M11" s="387">
        <v>32743.9636363637</v>
      </c>
      <c r="N11" s="387">
        <v>32838.713131313198</v>
      </c>
      <c r="O11" s="387">
        <v>32933.462626262699</v>
      </c>
      <c r="P11" s="387">
        <v>33028.212121212098</v>
      </c>
      <c r="Q11" s="387">
        <v>33122.9616161616</v>
      </c>
      <c r="R11" s="387">
        <v>33217.711111111101</v>
      </c>
      <c r="S11" s="387">
        <v>33015.666666666701</v>
      </c>
      <c r="T11" s="387">
        <v>33126.166666666701</v>
      </c>
      <c r="U11" s="387">
        <v>33236.666666666701</v>
      </c>
      <c r="V11" s="387">
        <v>35084</v>
      </c>
      <c r="W11" s="387">
        <v>33347.166666666701</v>
      </c>
      <c r="X11" s="387">
        <v>33457.666666666701</v>
      </c>
      <c r="Y11" s="387">
        <v>33568.166666666701</v>
      </c>
      <c r="Z11" s="387">
        <v>35085</v>
      </c>
      <c r="AA11" s="387">
        <v>33678.666666666701</v>
      </c>
      <c r="AB11" s="387">
        <v>33789.166666666701</v>
      </c>
      <c r="AC11" s="387">
        <v>33899.666666666701</v>
      </c>
      <c r="AD11" s="387">
        <v>35086</v>
      </c>
      <c r="AE11" s="387">
        <v>34010.166666666701</v>
      </c>
      <c r="AF11" s="387">
        <v>34120.666666666701</v>
      </c>
      <c r="AG11" s="387">
        <v>34231.166666666701</v>
      </c>
      <c r="AH11" s="387">
        <v>35087</v>
      </c>
      <c r="AI11" s="387">
        <v>34341.666666666701</v>
      </c>
      <c r="AJ11" s="387">
        <v>34452.166666666701</v>
      </c>
      <c r="AK11" s="387">
        <v>34562.666666666701</v>
      </c>
      <c r="AL11" s="387">
        <v>35088</v>
      </c>
      <c r="AM11" s="387">
        <v>34673.166666666701</v>
      </c>
      <c r="AN11" s="387">
        <v>34783.666666666701</v>
      </c>
      <c r="AO11" s="387">
        <v>34894.166666666701</v>
      </c>
      <c r="AP11" s="387">
        <v>35089</v>
      </c>
      <c r="AQ11" s="387">
        <v>35004.666666666701</v>
      </c>
      <c r="AR11" s="387">
        <v>35115.166666666701</v>
      </c>
      <c r="AS11" s="387">
        <v>35225.666666666701</v>
      </c>
      <c r="AT11" s="387">
        <v>35090</v>
      </c>
      <c r="AU11" s="387">
        <v>35648</v>
      </c>
      <c r="AV11" s="387">
        <v>34823</v>
      </c>
      <c r="AW11" s="387">
        <v>35869</v>
      </c>
      <c r="AX11" s="387">
        <v>38900</v>
      </c>
      <c r="AY11" s="387">
        <v>48637</v>
      </c>
      <c r="AZ11" s="387">
        <v>46484</v>
      </c>
      <c r="BA11" s="387">
        <v>48182</v>
      </c>
      <c r="BB11" s="387">
        <v>48880</v>
      </c>
      <c r="BC11" s="387">
        <v>53437</v>
      </c>
      <c r="BD11" s="387">
        <v>53976</v>
      </c>
      <c r="BE11" s="387">
        <v>40000</v>
      </c>
      <c r="BF11" s="387">
        <v>35076</v>
      </c>
      <c r="BG11" s="387">
        <v>35172</v>
      </c>
      <c r="BH11" s="387">
        <v>38937</v>
      </c>
      <c r="BI11" s="387">
        <v>40545</v>
      </c>
      <c r="BJ11" s="387">
        <v>43117</v>
      </c>
      <c r="BK11" s="387">
        <v>41200</v>
      </c>
      <c r="BL11" s="387">
        <v>35000</v>
      </c>
      <c r="BM11" s="387">
        <v>37500</v>
      </c>
      <c r="BN11" s="387">
        <v>35100</v>
      </c>
      <c r="BO11" s="387">
        <v>37300</v>
      </c>
      <c r="BP11" s="387">
        <v>37300</v>
      </c>
      <c r="BQ11" s="387">
        <v>39700</v>
      </c>
      <c r="BR11" s="387">
        <v>41700</v>
      </c>
      <c r="BS11" s="387">
        <v>40900</v>
      </c>
      <c r="BT11" s="387">
        <v>38000</v>
      </c>
      <c r="BU11" s="387">
        <v>25000</v>
      </c>
      <c r="BV11" s="387">
        <v>19100</v>
      </c>
      <c r="BW11" s="387">
        <v>25000</v>
      </c>
      <c r="BX11" s="387">
        <v>31800</v>
      </c>
      <c r="BY11" s="387">
        <v>33800</v>
      </c>
      <c r="BZ11" s="387">
        <v>35100</v>
      </c>
      <c r="CA11" s="387">
        <v>36000</v>
      </c>
      <c r="CB11" s="387">
        <v>35700</v>
      </c>
      <c r="CC11" s="387">
        <v>35700</v>
      </c>
      <c r="CD11" s="387">
        <v>39300</v>
      </c>
      <c r="CE11" s="387">
        <v>42500</v>
      </c>
      <c r="CF11" s="387">
        <v>46600</v>
      </c>
      <c r="CG11" s="387">
        <v>48300</v>
      </c>
      <c r="CH11" s="387">
        <v>44700</v>
      </c>
      <c r="CI11" s="387">
        <v>47100</v>
      </c>
      <c r="CJ11" s="387">
        <v>50610</v>
      </c>
      <c r="CK11" s="387">
        <v>50620</v>
      </c>
      <c r="CL11" s="387">
        <v>44350</v>
      </c>
      <c r="CM11" s="387">
        <f t="shared" si="0"/>
        <v>36990.060317460338</v>
      </c>
      <c r="CN11" s="58"/>
      <c r="CO11" s="58"/>
      <c r="CP11" s="58"/>
      <c r="CQ11" s="58"/>
      <c r="CR11" s="58"/>
      <c r="CS11" s="58"/>
      <c r="CT11" s="58"/>
      <c r="CU11" s="58"/>
      <c r="CV11" s="58"/>
      <c r="CW11" s="58"/>
      <c r="CX11" s="58"/>
      <c r="CY11" s="58"/>
      <c r="CZ11" s="58"/>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c r="EB11" s="58"/>
      <c r="EC11" s="58"/>
      <c r="ED11" s="58"/>
      <c r="EE11" s="58"/>
      <c r="EF11" s="58"/>
      <c r="EG11" s="58"/>
      <c r="EH11" s="58"/>
      <c r="EI11" s="58"/>
      <c r="EJ11" s="58"/>
      <c r="EK11" s="58"/>
      <c r="EL11" s="58"/>
      <c r="EM11" s="58"/>
      <c r="EN11" s="58"/>
      <c r="EO11" s="58"/>
      <c r="EP11" s="58"/>
      <c r="EQ11" s="58"/>
      <c r="ER11" s="58"/>
      <c r="ES11" s="58"/>
      <c r="ET11" s="58"/>
      <c r="EU11" s="58"/>
      <c r="EV11" s="58"/>
      <c r="EW11" s="58"/>
      <c r="EX11" s="58"/>
      <c r="EY11" s="58"/>
      <c r="EZ11" s="58"/>
      <c r="FA11" s="58"/>
      <c r="FB11" s="58"/>
      <c r="FC11" s="58"/>
      <c r="FD11" s="58"/>
      <c r="FE11" s="58"/>
      <c r="FF11" s="58"/>
      <c r="FG11" s="58"/>
      <c r="FH11" s="58"/>
      <c r="FI11" s="58"/>
      <c r="FJ11" s="58"/>
      <c r="FK11" s="58"/>
      <c r="FL11" s="58"/>
      <c r="FM11" s="58"/>
      <c r="FN11" s="58"/>
      <c r="FO11" s="58"/>
      <c r="FP11" s="58"/>
      <c r="FQ11" s="58"/>
      <c r="FR11" s="58"/>
      <c r="FS11" s="58"/>
      <c r="FT11" s="58"/>
      <c r="FU11" s="58"/>
      <c r="FV11" s="58"/>
    </row>
    <row r="12" spans="1:178" ht="12.75" customHeight="1">
      <c r="A12" s="1063" t="s">
        <v>311</v>
      </c>
      <c r="B12" s="159" t="s">
        <v>312</v>
      </c>
      <c r="C12" s="393" t="s">
        <v>313</v>
      </c>
      <c r="D12" s="393"/>
      <c r="E12" s="1065" t="s">
        <v>314</v>
      </c>
      <c r="F12" s="394" t="s">
        <v>149</v>
      </c>
      <c r="G12" s="395">
        <f>Feed!$F$4*1000/12</f>
        <v>47416.666666666664</v>
      </c>
      <c r="H12" s="395">
        <f>Feed!$F$4*1000/12</f>
        <v>47416.666666666664</v>
      </c>
      <c r="I12" s="395">
        <f>Feed!$F$4*1000/12</f>
        <v>47416.666666666664</v>
      </c>
      <c r="J12" s="395">
        <f>Feed!$F$4*1000/12</f>
        <v>47416.666666666664</v>
      </c>
      <c r="K12" s="395">
        <f>Feed!$F$4*1000/12</f>
        <v>47416.666666666664</v>
      </c>
      <c r="L12" s="395">
        <f>Feed!$F$4*1000/12</f>
        <v>47416.666666666664</v>
      </c>
      <c r="M12" s="395">
        <f>Feed!$F$4*1000/12</f>
        <v>47416.666666666664</v>
      </c>
      <c r="N12" s="395">
        <f>Feed!$F$4*1000/12</f>
        <v>47416.666666666664</v>
      </c>
      <c r="O12" s="395">
        <f>Feed!$F$4*1000/12</f>
        <v>47416.666666666664</v>
      </c>
      <c r="P12" s="396">
        <f>Feed!$F$4*1000/12</f>
        <v>47416.666666666664</v>
      </c>
      <c r="Q12" s="395">
        <f>Feed!$F$4*1000/12</f>
        <v>47416.666666666664</v>
      </c>
      <c r="R12" s="395">
        <f>Feed!$F$4*1000/12</f>
        <v>47416.666666666664</v>
      </c>
      <c r="S12" s="395">
        <f>Feed!$F$4*1000/12</f>
        <v>47416.666666666664</v>
      </c>
      <c r="T12" s="395">
        <f>Feed!$F$4*1000/12</f>
        <v>47416.666666666664</v>
      </c>
      <c r="U12" s="395">
        <f>Feed!$F$4*1000/12</f>
        <v>47416.666666666664</v>
      </c>
      <c r="V12" s="395">
        <f>Feed!$F$4*1000/12</f>
        <v>47416.666666666664</v>
      </c>
      <c r="W12" s="395">
        <f>Feed!$F$4*1000/12</f>
        <v>47416.666666666664</v>
      </c>
      <c r="X12" s="395">
        <f>Feed!$F$4*1000/12</f>
        <v>47416.666666666664</v>
      </c>
      <c r="Y12" s="395">
        <f>Feed!$F$4*1000/12</f>
        <v>47416.666666666664</v>
      </c>
      <c r="Z12" s="395">
        <f>Feed!$F$4*1000/12</f>
        <v>47416.666666666664</v>
      </c>
      <c r="AA12" s="395">
        <f>Feed!$F$4*1000/12</f>
        <v>47416.666666666664</v>
      </c>
      <c r="AB12" s="395">
        <f>Feed!$F$4*1000/12</f>
        <v>47416.666666666664</v>
      </c>
      <c r="AC12" s="395">
        <f>Feed!$F$4*1000/12</f>
        <v>47416.666666666664</v>
      </c>
      <c r="AD12" s="395">
        <f>Feed!$F$4*1000/12</f>
        <v>47416.666666666664</v>
      </c>
      <c r="AE12" s="396">
        <f>Feed!$F$4*1000/12</f>
        <v>47416.666666666664</v>
      </c>
      <c r="AF12" s="395">
        <f>Feed!$F$4*1000/12</f>
        <v>47416.666666666664</v>
      </c>
      <c r="AG12" s="395">
        <f>Feed!$F$4*1000/12</f>
        <v>47416.666666666664</v>
      </c>
      <c r="AH12" s="395">
        <f>Feed!$F$4*1000/12</f>
        <v>47416.666666666664</v>
      </c>
      <c r="AI12" s="395">
        <f>Feed!$F$4*1000/12</f>
        <v>47416.666666666664</v>
      </c>
      <c r="AJ12" s="395">
        <f>Feed!$F$4*1000/12</f>
        <v>47416.666666666664</v>
      </c>
      <c r="AK12" s="395">
        <f>Feed!$F$4*1000/12</f>
        <v>47416.666666666664</v>
      </c>
      <c r="AL12" s="395">
        <f>Feed!$F$4*1000/12</f>
        <v>47416.666666666664</v>
      </c>
      <c r="AM12" s="395">
        <f>Feed!$F$4*1000/12</f>
        <v>47416.666666666664</v>
      </c>
      <c r="AN12" s="395">
        <f>Feed!$F$4*1000/12</f>
        <v>47416.666666666664</v>
      </c>
      <c r="AO12" s="395">
        <f>Feed!$F$4*1000/12</f>
        <v>47416.666666666664</v>
      </c>
      <c r="AP12" s="395">
        <f>Feed!$F$4*1000/12</f>
        <v>47416.666666666664</v>
      </c>
      <c r="AQ12" s="395">
        <f>Feed!$F$4*1000/12</f>
        <v>47416.666666666664</v>
      </c>
      <c r="AR12" s="395">
        <f>Feed!$F$4*1000/12</f>
        <v>47416.666666666664</v>
      </c>
      <c r="AS12" s="395">
        <f>Feed!$F$4*1000/12</f>
        <v>47416.666666666664</v>
      </c>
      <c r="AT12" s="395">
        <f>Feed!$F$4*1000/12</f>
        <v>47416.666666666664</v>
      </c>
      <c r="AU12" s="395">
        <f>Feed!$F$4*1000/12</f>
        <v>47416.666666666664</v>
      </c>
      <c r="AV12" s="395">
        <f>Feed!$F$4*1000/12</f>
        <v>47416.666666666664</v>
      </c>
      <c r="AW12" s="395">
        <f>Feed!$F$4*1000/12</f>
        <v>47416.666666666664</v>
      </c>
      <c r="AX12" s="395">
        <f>Feed!$F$4*1000/12</f>
        <v>47416.666666666664</v>
      </c>
      <c r="AY12" s="395">
        <f>Feed!$F$4*1000/12</f>
        <v>47416.666666666664</v>
      </c>
      <c r="AZ12" s="395">
        <f>Feed!$F$4*1000/12</f>
        <v>47416.666666666664</v>
      </c>
      <c r="BA12" s="395">
        <f>Feed!$F$4*1000/12</f>
        <v>47416.666666666664</v>
      </c>
      <c r="BB12" s="395">
        <f>Feed!$F$4*1000/12</f>
        <v>47416.666666666664</v>
      </c>
      <c r="BC12" s="395">
        <f>Feed!$F$4*1000/12</f>
        <v>47416.666666666664</v>
      </c>
      <c r="BD12" s="395">
        <f>Feed!$F$4*1000/12</f>
        <v>47416.666666666664</v>
      </c>
      <c r="BE12" s="395">
        <f>Feed!$F$4*1000/12</f>
        <v>47416.666666666664</v>
      </c>
      <c r="BF12" s="395">
        <f>Feed!$F$4*1000/12</f>
        <v>47416.666666666664</v>
      </c>
      <c r="BG12" s="395">
        <f>Feed!$F$4*1000/12</f>
        <v>47416.666666666664</v>
      </c>
      <c r="BH12" s="395">
        <f>Feed!$F$4*1000/12</f>
        <v>47416.666666666664</v>
      </c>
      <c r="BI12" s="395">
        <f>Feed!$F$4*1000/12</f>
        <v>47416.666666666664</v>
      </c>
      <c r="BJ12" s="395">
        <f>Feed!$F$4*1000/12</f>
        <v>47416.666666666664</v>
      </c>
      <c r="BK12" s="395">
        <f>Feed!$F$4*1000/12</f>
        <v>47416.666666666664</v>
      </c>
      <c r="BL12" s="395">
        <f>Feed!$F$4*1000/12</f>
        <v>47416.666666666664</v>
      </c>
      <c r="BM12" s="395">
        <f>Feed!$F$4*1000/12</f>
        <v>47416.666666666664</v>
      </c>
      <c r="BN12" s="395">
        <f>Feed!$F$4*1000/12</f>
        <v>47416.666666666664</v>
      </c>
      <c r="BO12" s="395">
        <f>Feed!$F$4*1000/12</f>
        <v>47416.666666666664</v>
      </c>
      <c r="BP12" s="395">
        <f>Feed!$F$4*1000/12</f>
        <v>47416.666666666664</v>
      </c>
      <c r="BQ12" s="395">
        <f>Feed!$F$4*1000/12</f>
        <v>47416.666666666664</v>
      </c>
      <c r="BR12" s="395">
        <f>Feed!$F$4*1000/12</f>
        <v>47416.666666666664</v>
      </c>
      <c r="BS12" s="395">
        <f>Feed!$F$4*1000/12</f>
        <v>47416.666666666664</v>
      </c>
      <c r="BT12" s="395">
        <f>Feed!$F$4*1000/12</f>
        <v>47416.666666666664</v>
      </c>
      <c r="BU12" s="395">
        <f>Feed!$F$4*1000/12</f>
        <v>47416.666666666664</v>
      </c>
      <c r="BV12" s="395">
        <f>Feed!$F$4*1000/12</f>
        <v>47416.666666666664</v>
      </c>
      <c r="BW12" s="395">
        <f>Feed!$F$4*1000/12</f>
        <v>47416.666666666664</v>
      </c>
      <c r="BX12" s="395">
        <f>Feed!$F$4*1000/12</f>
        <v>47416.666666666664</v>
      </c>
      <c r="BY12" s="395">
        <f>Feed!$F$4*1000/12</f>
        <v>47416.666666666664</v>
      </c>
      <c r="BZ12" s="395">
        <f>Feed!$F$4*1000/12</f>
        <v>47416.666666666664</v>
      </c>
      <c r="CA12" s="395">
        <f>Feed!$F$4*1000/12</f>
        <v>47416.666666666664</v>
      </c>
      <c r="CB12" s="395">
        <f>Feed!$F$4*1000/12</f>
        <v>47416.666666666664</v>
      </c>
      <c r="CC12" s="395">
        <f>Feed!$F$4*1000/12</f>
        <v>47416.666666666664</v>
      </c>
      <c r="CD12" s="395">
        <f>Feed!$F$4*1000/12</f>
        <v>47416.666666666664</v>
      </c>
      <c r="CE12" s="395">
        <f>Feed!$F$4*1000/12</f>
        <v>47416.666666666664</v>
      </c>
      <c r="CF12" s="395">
        <f>Feed!$F$4*1000/12</f>
        <v>47416.666666666664</v>
      </c>
      <c r="CG12" s="395">
        <f>Feed!$F$4*1000/12</f>
        <v>47416.666666666664</v>
      </c>
      <c r="CH12" s="395">
        <f>Feed!$F$4*1000/12</f>
        <v>47416.666666666664</v>
      </c>
      <c r="CI12" s="395">
        <f>Feed!$F$4*1000/12</f>
        <v>47416.666666666664</v>
      </c>
      <c r="CJ12" s="395">
        <f>Feed!$F$4*1000/12</f>
        <v>47416.666666666664</v>
      </c>
      <c r="CK12" s="395">
        <f>Feed!$F$4*1000/12</f>
        <v>47416.666666666664</v>
      </c>
      <c r="CL12" s="395">
        <f>Feed!$F$4*1000/12</f>
        <v>47416.666666666664</v>
      </c>
      <c r="CM12" s="397">
        <f t="shared" si="0"/>
        <v>47416.666666666613</v>
      </c>
      <c r="CN12" s="58"/>
      <c r="CO12" s="58"/>
      <c r="CP12" s="58"/>
      <c r="CQ12" s="58"/>
      <c r="CR12" s="58"/>
      <c r="CS12" s="58"/>
      <c r="CT12" s="58"/>
      <c r="CU12" s="58"/>
      <c r="CV12" s="58"/>
      <c r="CW12" s="58"/>
      <c r="CX12" s="58"/>
      <c r="CY12" s="58"/>
      <c r="CZ12" s="58"/>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58"/>
      <c r="EC12" s="58"/>
      <c r="ED12" s="58"/>
      <c r="EE12" s="58"/>
      <c r="EF12" s="58"/>
      <c r="EG12" s="58"/>
      <c r="EH12" s="58"/>
      <c r="EI12" s="58"/>
      <c r="EJ12" s="58"/>
      <c r="EK12" s="58"/>
      <c r="EL12" s="58"/>
      <c r="EM12" s="58"/>
      <c r="EN12" s="58"/>
      <c r="EO12" s="58"/>
      <c r="EP12" s="58"/>
      <c r="EQ12" s="58"/>
      <c r="ER12" s="58"/>
      <c r="ES12" s="58"/>
      <c r="ET12" s="58"/>
      <c r="EU12" s="58"/>
      <c r="EV12" s="58"/>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row>
    <row r="13" spans="1:178">
      <c r="A13" s="1064"/>
      <c r="B13" s="398" t="s">
        <v>312</v>
      </c>
      <c r="C13" s="399" t="s">
        <v>313</v>
      </c>
      <c r="D13" s="399"/>
      <c r="E13" s="1066"/>
      <c r="F13" s="400" t="s">
        <v>0</v>
      </c>
      <c r="G13" s="395">
        <f>Feed!$F$6*1000/12</f>
        <v>58083.333333333336</v>
      </c>
      <c r="H13" s="395">
        <f>Feed!$F$6*1000/12</f>
        <v>58083.333333333336</v>
      </c>
      <c r="I13" s="395">
        <f>Feed!$F$6*1000/12</f>
        <v>58083.333333333336</v>
      </c>
      <c r="J13" s="395">
        <f>Feed!$F$6*1000/12</f>
        <v>58083.333333333336</v>
      </c>
      <c r="K13" s="395">
        <f>Feed!$F$6*1000/12</f>
        <v>58083.333333333336</v>
      </c>
      <c r="L13" s="395">
        <f>Feed!$F$6*1000/12</f>
        <v>58083.333333333336</v>
      </c>
      <c r="M13" s="395">
        <f>Feed!$F$6*1000/12</f>
        <v>58083.333333333336</v>
      </c>
      <c r="N13" s="395">
        <f>Feed!$F$6*1000/12</f>
        <v>58083.333333333336</v>
      </c>
      <c r="O13" s="395">
        <f>Feed!$F$6*1000/12</f>
        <v>58083.333333333336</v>
      </c>
      <c r="P13" s="395">
        <f>Feed!$F$6*1000/12</f>
        <v>58083.333333333336</v>
      </c>
      <c r="Q13" s="395">
        <f>Feed!$F$6*1000/12</f>
        <v>58083.333333333336</v>
      </c>
      <c r="R13" s="395">
        <f>Feed!$F$6*1000/12</f>
        <v>58083.333333333336</v>
      </c>
      <c r="S13" s="395">
        <f>Feed!$F$6*1000/12</f>
        <v>58083.333333333336</v>
      </c>
      <c r="T13" s="395">
        <f>Feed!$F$6*1000/12</f>
        <v>58083.333333333336</v>
      </c>
      <c r="U13" s="395">
        <f>Feed!$F$6*1000/12</f>
        <v>58083.333333333336</v>
      </c>
      <c r="V13" s="395">
        <f>Feed!$F$6*1000/12</f>
        <v>58083.333333333336</v>
      </c>
      <c r="W13" s="395">
        <f>Feed!$F$6*1000/12</f>
        <v>58083.333333333336</v>
      </c>
      <c r="X13" s="395">
        <f>Feed!$F$6*1000/12</f>
        <v>58083.333333333336</v>
      </c>
      <c r="Y13" s="395">
        <f>Feed!$F$6*1000/12</f>
        <v>58083.333333333336</v>
      </c>
      <c r="Z13" s="395">
        <f>Feed!$F$6*1000/12</f>
        <v>58083.333333333336</v>
      </c>
      <c r="AA13" s="395">
        <f>Feed!$F$6*1000/12</f>
        <v>58083.333333333336</v>
      </c>
      <c r="AB13" s="395">
        <f>Feed!$F$6*1000/12</f>
        <v>58083.333333333336</v>
      </c>
      <c r="AC13" s="395">
        <f>Feed!$F$6*1000/12</f>
        <v>58083.333333333336</v>
      </c>
      <c r="AD13" s="395">
        <f>Feed!$F$6*1000/12</f>
        <v>58083.333333333336</v>
      </c>
      <c r="AE13" s="395">
        <f>Feed!$F$6*1000/12</f>
        <v>58083.333333333336</v>
      </c>
      <c r="AF13" s="395">
        <f>Feed!$F$6*1000/12</f>
        <v>58083.333333333336</v>
      </c>
      <c r="AG13" s="395">
        <f>Feed!$F$6*1000/12</f>
        <v>58083.333333333336</v>
      </c>
      <c r="AH13" s="395">
        <f>Feed!$F$6*1000/12</f>
        <v>58083.333333333336</v>
      </c>
      <c r="AI13" s="395">
        <f>Feed!$F$6*1000/12</f>
        <v>58083.333333333336</v>
      </c>
      <c r="AJ13" s="395">
        <f>Feed!$F$6*1000/12</f>
        <v>58083.333333333336</v>
      </c>
      <c r="AK13" s="395">
        <f>Feed!$F$6*1000/12</f>
        <v>58083.333333333336</v>
      </c>
      <c r="AL13" s="395">
        <f>Feed!$F$6*1000/12</f>
        <v>58083.333333333336</v>
      </c>
      <c r="AM13" s="395">
        <f>Feed!$F$6*1000/12</f>
        <v>58083.333333333336</v>
      </c>
      <c r="AN13" s="395">
        <f>Feed!$F$6*1000/12</f>
        <v>58083.333333333336</v>
      </c>
      <c r="AO13" s="395">
        <f>Feed!$F$6*1000/12</f>
        <v>58083.333333333336</v>
      </c>
      <c r="AP13" s="395">
        <f>Feed!$F$6*1000/12</f>
        <v>58083.333333333336</v>
      </c>
      <c r="AQ13" s="395">
        <f>Feed!$F$6*1000/12</f>
        <v>58083.333333333336</v>
      </c>
      <c r="AR13" s="395">
        <f>Feed!$F$6*1000/12</f>
        <v>58083.333333333336</v>
      </c>
      <c r="AS13" s="395">
        <f>Feed!$F$6*1000/12</f>
        <v>58083.333333333336</v>
      </c>
      <c r="AT13" s="395">
        <f>Feed!$F$6*1000/12</f>
        <v>58083.333333333336</v>
      </c>
      <c r="AU13" s="395">
        <f>Feed!$F$6*1000/12</f>
        <v>58083.333333333336</v>
      </c>
      <c r="AV13" s="395">
        <f>Feed!$F$6*1000/12</f>
        <v>58083.333333333336</v>
      </c>
      <c r="AW13" s="395">
        <f>Feed!$F$6*1000/12</f>
        <v>58083.333333333336</v>
      </c>
      <c r="AX13" s="395">
        <f>Feed!$F$6*1000/12</f>
        <v>58083.333333333336</v>
      </c>
      <c r="AY13" s="395">
        <f>Feed!$F$6*1000/12</f>
        <v>58083.333333333336</v>
      </c>
      <c r="AZ13" s="395">
        <f>Feed!$F$6*1000/12</f>
        <v>58083.333333333336</v>
      </c>
      <c r="BA13" s="395">
        <f>Feed!$F$6*1000/12</f>
        <v>58083.333333333336</v>
      </c>
      <c r="BB13" s="395">
        <f>Feed!$F$6*1000/12</f>
        <v>58083.333333333336</v>
      </c>
      <c r="BC13" s="395">
        <f>Feed!$F$6*1000/12</f>
        <v>58083.333333333336</v>
      </c>
      <c r="BD13" s="395">
        <f>Feed!$F$6*1000/12</f>
        <v>58083.333333333336</v>
      </c>
      <c r="BE13" s="395">
        <f>Feed!$F$6*1000/12</f>
        <v>58083.333333333336</v>
      </c>
      <c r="BF13" s="395">
        <f>Feed!$F$6*1000/12</f>
        <v>58083.333333333336</v>
      </c>
      <c r="BG13" s="395">
        <f>Feed!$F$6*1000/12</f>
        <v>58083.333333333336</v>
      </c>
      <c r="BH13" s="395">
        <f>Feed!$F$6*1000/12</f>
        <v>58083.333333333336</v>
      </c>
      <c r="BI13" s="395">
        <f>Feed!$F$6*1000/12</f>
        <v>58083.333333333336</v>
      </c>
      <c r="BJ13" s="395">
        <f>Feed!$F$6*1000/12</f>
        <v>58083.333333333336</v>
      </c>
      <c r="BK13" s="395">
        <f>Feed!$F$6*1000/12</f>
        <v>58083.333333333336</v>
      </c>
      <c r="BL13" s="395">
        <f>Feed!$F$6*1000/12</f>
        <v>58083.333333333336</v>
      </c>
      <c r="BM13" s="395">
        <f>Feed!$F$6*1000/12</f>
        <v>58083.333333333336</v>
      </c>
      <c r="BN13" s="395">
        <f>Feed!$F$6*1000/12</f>
        <v>58083.333333333336</v>
      </c>
      <c r="BO13" s="395">
        <f>Feed!$F$6*1000/12</f>
        <v>58083.333333333336</v>
      </c>
      <c r="BP13" s="395">
        <f>Feed!$F$6*1000/12</f>
        <v>58083.333333333336</v>
      </c>
      <c r="BQ13" s="395">
        <f>Feed!$F$6*1000/12</f>
        <v>58083.333333333336</v>
      </c>
      <c r="BR13" s="395">
        <f>Feed!$F$6*1000/12</f>
        <v>58083.333333333336</v>
      </c>
      <c r="BS13" s="395">
        <f>Feed!$F$6*1000/12</f>
        <v>58083.333333333336</v>
      </c>
      <c r="BT13" s="395">
        <f>Feed!$F$6*1000/12</f>
        <v>58083.333333333336</v>
      </c>
      <c r="BU13" s="395">
        <f>Feed!$F$6*1000/12</f>
        <v>58083.333333333336</v>
      </c>
      <c r="BV13" s="395">
        <f>Feed!$F$6*1000/12</f>
        <v>58083.333333333336</v>
      </c>
      <c r="BW13" s="395">
        <f>Feed!$F$6*1000/12</f>
        <v>58083.333333333336</v>
      </c>
      <c r="BX13" s="395">
        <f>Feed!$F$6*1000/12</f>
        <v>58083.333333333336</v>
      </c>
      <c r="BY13" s="395">
        <f>Feed!$F$6*1000/12</f>
        <v>58083.333333333336</v>
      </c>
      <c r="BZ13" s="395">
        <f>Feed!$F$6*1000/12</f>
        <v>58083.333333333336</v>
      </c>
      <c r="CA13" s="395">
        <f>Feed!$F$6*1000/12</f>
        <v>58083.333333333336</v>
      </c>
      <c r="CB13" s="395">
        <f>Feed!$F$6*1000/12</f>
        <v>58083.333333333336</v>
      </c>
      <c r="CC13" s="395">
        <f>Feed!$F$6*1000/12</f>
        <v>58083.333333333336</v>
      </c>
      <c r="CD13" s="395">
        <f>Feed!$F$6*1000/12</f>
        <v>58083.333333333336</v>
      </c>
      <c r="CE13" s="395">
        <f>Feed!$F$6*1000/12</f>
        <v>58083.333333333336</v>
      </c>
      <c r="CF13" s="395">
        <f>Feed!$F$6*1000/12</f>
        <v>58083.333333333336</v>
      </c>
      <c r="CG13" s="395">
        <f>Feed!$F$6*1000/12</f>
        <v>58083.333333333336</v>
      </c>
      <c r="CH13" s="395">
        <f>Feed!$F$6*1000/12</f>
        <v>58083.333333333336</v>
      </c>
      <c r="CI13" s="395">
        <f>Feed!$F$6*1000/12</f>
        <v>58083.333333333336</v>
      </c>
      <c r="CJ13" s="395">
        <f>Feed!$F$6*1000/12</f>
        <v>58083.333333333336</v>
      </c>
      <c r="CK13" s="395">
        <f>Feed!$F$6*1000/12</f>
        <v>58083.333333333336</v>
      </c>
      <c r="CL13" s="395">
        <f>Feed!$F$6*1000/12</f>
        <v>58083.333333333336</v>
      </c>
      <c r="CM13" s="397">
        <f t="shared" si="0"/>
        <v>58083.333333333343</v>
      </c>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58"/>
      <c r="EC13" s="58"/>
      <c r="ED13" s="58"/>
      <c r="EE13" s="58"/>
      <c r="EF13" s="58"/>
      <c r="EG13" s="58"/>
      <c r="EH13" s="58"/>
      <c r="EI13" s="58"/>
      <c r="EJ13" s="58"/>
      <c r="EK13" s="58"/>
      <c r="EL13" s="58"/>
      <c r="EM13" s="58"/>
      <c r="EN13" s="58"/>
      <c r="EO13" s="58"/>
      <c r="EP13" s="58"/>
      <c r="EQ13" s="58"/>
      <c r="ER13" s="58"/>
      <c r="ES13" s="58"/>
      <c r="ET13" s="58"/>
      <c r="EU13" s="58"/>
      <c r="EV13" s="58"/>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row>
    <row r="14" spans="1:178">
      <c r="A14" s="1064"/>
      <c r="B14" s="398" t="s">
        <v>312</v>
      </c>
      <c r="C14" s="399" t="s">
        <v>313</v>
      </c>
      <c r="D14" s="399"/>
      <c r="E14" s="1066"/>
      <c r="F14" s="400" t="s">
        <v>306</v>
      </c>
      <c r="G14" s="395">
        <f>Feed!$F$7*1000/12</f>
        <v>11333.333333333334</v>
      </c>
      <c r="H14" s="395">
        <f>Feed!$F$7*1000/12</f>
        <v>11333.333333333334</v>
      </c>
      <c r="I14" s="395">
        <f>Feed!$F$7*1000/12</f>
        <v>11333.333333333334</v>
      </c>
      <c r="J14" s="395">
        <f>Feed!$F$7*1000/12</f>
        <v>11333.333333333334</v>
      </c>
      <c r="K14" s="395">
        <f>Feed!$F$7*1000/12</f>
        <v>11333.333333333334</v>
      </c>
      <c r="L14" s="395">
        <f>Feed!$F$7*1000/12</f>
        <v>11333.333333333334</v>
      </c>
      <c r="M14" s="395">
        <f>Feed!$F$7*1000/12</f>
        <v>11333.333333333334</v>
      </c>
      <c r="N14" s="395">
        <f>Feed!$F$7*1000/12</f>
        <v>11333.333333333334</v>
      </c>
      <c r="O14" s="395">
        <f>Feed!$F$7*1000/12</f>
        <v>11333.333333333334</v>
      </c>
      <c r="P14" s="395">
        <f>Feed!$F$7*1000/12</f>
        <v>11333.333333333334</v>
      </c>
      <c r="Q14" s="395">
        <f>Feed!$F$7*1000/12</f>
        <v>11333.333333333334</v>
      </c>
      <c r="R14" s="395">
        <f>Feed!$F$7*1000/12</f>
        <v>11333.333333333334</v>
      </c>
      <c r="S14" s="395">
        <f>Feed!$F$7*1000/12</f>
        <v>11333.333333333334</v>
      </c>
      <c r="T14" s="395">
        <f>Feed!$F$7*1000/12</f>
        <v>11333.333333333334</v>
      </c>
      <c r="U14" s="395">
        <f>Feed!$F$7*1000/12</f>
        <v>11333.333333333334</v>
      </c>
      <c r="V14" s="395">
        <f>Feed!$F$7*1000/12</f>
        <v>11333.333333333334</v>
      </c>
      <c r="W14" s="395">
        <f>Feed!$F$7*1000/12</f>
        <v>11333.333333333334</v>
      </c>
      <c r="X14" s="395">
        <f>Feed!$F$7*1000/12</f>
        <v>11333.333333333334</v>
      </c>
      <c r="Y14" s="395">
        <f>Feed!$F$7*1000/12</f>
        <v>11333.333333333334</v>
      </c>
      <c r="Z14" s="395">
        <f>Feed!$F$7*1000/12</f>
        <v>11333.333333333334</v>
      </c>
      <c r="AA14" s="395">
        <f>Feed!$F$7*1000/12</f>
        <v>11333.333333333334</v>
      </c>
      <c r="AB14" s="395">
        <f>Feed!$F$7*1000/12</f>
        <v>11333.333333333334</v>
      </c>
      <c r="AC14" s="395">
        <f>Feed!$F$7*1000/12</f>
        <v>11333.333333333334</v>
      </c>
      <c r="AD14" s="395">
        <f>Feed!$F$7*1000/12</f>
        <v>11333.333333333334</v>
      </c>
      <c r="AE14" s="395">
        <f>Feed!$F$7*1000/12</f>
        <v>11333.333333333334</v>
      </c>
      <c r="AF14" s="395">
        <f>Feed!$F$7*1000/12</f>
        <v>11333.333333333334</v>
      </c>
      <c r="AG14" s="395">
        <f>Feed!$F$7*1000/12</f>
        <v>11333.333333333334</v>
      </c>
      <c r="AH14" s="395">
        <f>Feed!$F$7*1000/12</f>
        <v>11333.333333333334</v>
      </c>
      <c r="AI14" s="395">
        <f>Feed!$F$7*1000/12</f>
        <v>11333.333333333334</v>
      </c>
      <c r="AJ14" s="395">
        <f>Feed!$F$7*1000/12</f>
        <v>11333.333333333334</v>
      </c>
      <c r="AK14" s="395">
        <f>Feed!$F$7*1000/12</f>
        <v>11333.333333333334</v>
      </c>
      <c r="AL14" s="395">
        <f>Feed!$F$7*1000/12</f>
        <v>11333.333333333334</v>
      </c>
      <c r="AM14" s="395">
        <f>Feed!$F$7*1000/12</f>
        <v>11333.333333333334</v>
      </c>
      <c r="AN14" s="395">
        <f>Feed!$F$7*1000/12</f>
        <v>11333.333333333334</v>
      </c>
      <c r="AO14" s="395">
        <f>Feed!$F$7*1000/12</f>
        <v>11333.333333333334</v>
      </c>
      <c r="AP14" s="395">
        <f>Feed!$F$7*1000/12</f>
        <v>11333.333333333334</v>
      </c>
      <c r="AQ14" s="395">
        <f>Feed!$F$7*1000/12</f>
        <v>11333.333333333334</v>
      </c>
      <c r="AR14" s="395">
        <f>Feed!$F$7*1000/12</f>
        <v>11333.333333333334</v>
      </c>
      <c r="AS14" s="395">
        <f>Feed!$F$7*1000/12</f>
        <v>11333.333333333334</v>
      </c>
      <c r="AT14" s="395">
        <f>Feed!$F$7*1000/12</f>
        <v>11333.333333333334</v>
      </c>
      <c r="AU14" s="395">
        <f>Feed!$F$7*1000/12</f>
        <v>11333.333333333334</v>
      </c>
      <c r="AV14" s="395">
        <f>Feed!$F$7*1000/12</f>
        <v>11333.333333333334</v>
      </c>
      <c r="AW14" s="395">
        <f>Feed!$F$7*1000/12</f>
        <v>11333.333333333334</v>
      </c>
      <c r="AX14" s="395">
        <f>Feed!$F$7*1000/12</f>
        <v>11333.333333333334</v>
      </c>
      <c r="AY14" s="395">
        <f>Feed!$F$7*1000/12</f>
        <v>11333.333333333334</v>
      </c>
      <c r="AZ14" s="395">
        <f>Feed!$F$7*1000/12</f>
        <v>11333.333333333334</v>
      </c>
      <c r="BA14" s="395">
        <f>Feed!$F$7*1000/12</f>
        <v>11333.333333333334</v>
      </c>
      <c r="BB14" s="395">
        <f>Feed!$F$7*1000/12</f>
        <v>11333.333333333334</v>
      </c>
      <c r="BC14" s="395">
        <f>Feed!$F$7*1000/12</f>
        <v>11333.333333333334</v>
      </c>
      <c r="BD14" s="395">
        <f>Feed!$F$7*1000/12</f>
        <v>11333.333333333334</v>
      </c>
      <c r="BE14" s="395">
        <f>Feed!$F$7*1000/12</f>
        <v>11333.333333333334</v>
      </c>
      <c r="BF14" s="395">
        <f>Feed!$F$7*1000/12</f>
        <v>11333.333333333334</v>
      </c>
      <c r="BG14" s="395">
        <f>Feed!$F$7*1000/12</f>
        <v>11333.333333333334</v>
      </c>
      <c r="BH14" s="395">
        <f>Feed!$F$7*1000/12</f>
        <v>11333.333333333334</v>
      </c>
      <c r="BI14" s="395">
        <f>Feed!$F$7*1000/12</f>
        <v>11333.333333333334</v>
      </c>
      <c r="BJ14" s="395">
        <f>Feed!$F$7*1000/12</f>
        <v>11333.333333333334</v>
      </c>
      <c r="BK14" s="395">
        <f>Feed!$F$7*1000/12</f>
        <v>11333.333333333334</v>
      </c>
      <c r="BL14" s="395">
        <f>Feed!$F$7*1000/12</f>
        <v>11333.333333333334</v>
      </c>
      <c r="BM14" s="395">
        <f>Feed!$F$7*1000/12</f>
        <v>11333.333333333334</v>
      </c>
      <c r="BN14" s="395">
        <f>Feed!$F$7*1000/12</f>
        <v>11333.333333333334</v>
      </c>
      <c r="BO14" s="395">
        <f>Feed!$F$7*1000/12</f>
        <v>11333.333333333334</v>
      </c>
      <c r="BP14" s="395">
        <f>Feed!$F$7*1000/12</f>
        <v>11333.333333333334</v>
      </c>
      <c r="BQ14" s="395">
        <f>Feed!$F$7*1000/12</f>
        <v>11333.333333333334</v>
      </c>
      <c r="BR14" s="395">
        <f>Feed!$F$7*1000/12</f>
        <v>11333.333333333334</v>
      </c>
      <c r="BS14" s="395">
        <f>Feed!$F$7*1000/12</f>
        <v>11333.333333333334</v>
      </c>
      <c r="BT14" s="395">
        <f>Feed!$F$7*1000/12</f>
        <v>11333.333333333334</v>
      </c>
      <c r="BU14" s="395">
        <f>Feed!$F$7*1000/12</f>
        <v>11333.333333333334</v>
      </c>
      <c r="BV14" s="395">
        <f>Feed!$F$7*1000/12</f>
        <v>11333.333333333334</v>
      </c>
      <c r="BW14" s="395">
        <f>Feed!$F$7*1000/12</f>
        <v>11333.333333333334</v>
      </c>
      <c r="BX14" s="395">
        <f>Feed!$F$7*1000/12</f>
        <v>11333.333333333334</v>
      </c>
      <c r="BY14" s="395">
        <f>Feed!$F$7*1000/12</f>
        <v>11333.333333333334</v>
      </c>
      <c r="BZ14" s="395">
        <f>Feed!$F$7*1000/12</f>
        <v>11333.333333333334</v>
      </c>
      <c r="CA14" s="395">
        <f>Feed!$F$7*1000/12</f>
        <v>11333.333333333334</v>
      </c>
      <c r="CB14" s="395">
        <f>Feed!$F$7*1000/12</f>
        <v>11333.333333333334</v>
      </c>
      <c r="CC14" s="395">
        <f>Feed!$F$7*1000/12</f>
        <v>11333.333333333334</v>
      </c>
      <c r="CD14" s="395">
        <f>Feed!$F$7*1000/12</f>
        <v>11333.333333333334</v>
      </c>
      <c r="CE14" s="395">
        <f>Feed!$F$7*1000/12</f>
        <v>11333.333333333334</v>
      </c>
      <c r="CF14" s="395">
        <f>Feed!$F$7*1000/12</f>
        <v>11333.333333333334</v>
      </c>
      <c r="CG14" s="395">
        <f>Feed!$F$7*1000/12</f>
        <v>11333.333333333334</v>
      </c>
      <c r="CH14" s="395">
        <f>Feed!$F$7*1000/12</f>
        <v>11333.333333333334</v>
      </c>
      <c r="CI14" s="395">
        <f>Feed!$F$7*1000/12</f>
        <v>11333.333333333334</v>
      </c>
      <c r="CJ14" s="395">
        <f>Feed!$F$7*1000/12</f>
        <v>11333.333333333334</v>
      </c>
      <c r="CK14" s="395">
        <f>Feed!$F$7*1000/12</f>
        <v>11333.333333333334</v>
      </c>
      <c r="CL14" s="395">
        <f>Feed!$F$7*1000/12</f>
        <v>11333.333333333334</v>
      </c>
      <c r="CM14" s="395">
        <f>Feed!$F$7*1000/12</f>
        <v>11333.333333333334</v>
      </c>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c r="EB14" s="58"/>
      <c r="EC14" s="58"/>
      <c r="ED14" s="58"/>
      <c r="EE14" s="58"/>
      <c r="EF14" s="58"/>
      <c r="EG14" s="58"/>
      <c r="EH14" s="58"/>
      <c r="EI14" s="58"/>
      <c r="EJ14" s="58"/>
      <c r="EK14" s="58"/>
      <c r="EL14" s="58"/>
      <c r="EM14" s="58"/>
      <c r="EN14" s="58"/>
      <c r="EO14" s="58"/>
      <c r="EP14" s="58"/>
      <c r="EQ14" s="58"/>
      <c r="ER14" s="58"/>
      <c r="ES14" s="58"/>
      <c r="ET14" s="58"/>
      <c r="EU14" s="58"/>
      <c r="EV14" s="58"/>
      <c r="EW14" s="58"/>
      <c r="EX14" s="58"/>
      <c r="EY14" s="58"/>
      <c r="EZ14" s="58"/>
      <c r="FA14" s="58"/>
      <c r="FB14" s="58"/>
      <c r="FC14" s="58"/>
      <c r="FD14" s="58"/>
      <c r="FE14" s="58"/>
      <c r="FF14" s="58"/>
      <c r="FG14" s="58"/>
      <c r="FH14" s="58"/>
      <c r="FI14" s="58"/>
      <c r="FJ14" s="58"/>
      <c r="FK14" s="58"/>
      <c r="FL14" s="58"/>
      <c r="FM14" s="58"/>
      <c r="FN14" s="58"/>
      <c r="FO14" s="58"/>
      <c r="FP14" s="58"/>
      <c r="FQ14" s="58"/>
      <c r="FR14" s="58"/>
      <c r="FS14" s="58"/>
      <c r="FT14" s="58"/>
      <c r="FU14" s="58"/>
      <c r="FV14" s="58"/>
    </row>
    <row r="15" spans="1:178">
      <c r="A15" s="1064"/>
      <c r="B15" s="398" t="s">
        <v>312</v>
      </c>
      <c r="C15" s="399" t="s">
        <v>313</v>
      </c>
      <c r="D15" s="399"/>
      <c r="E15" s="1066"/>
      <c r="F15" s="400" t="s">
        <v>1</v>
      </c>
      <c r="G15" s="395">
        <f>Feed!$F$5*1000/12</f>
        <v>134250</v>
      </c>
      <c r="H15" s="395">
        <f>Feed!$F$5*1000/12</f>
        <v>134250</v>
      </c>
      <c r="I15" s="395">
        <f>Feed!$F$5*1000/12</f>
        <v>134250</v>
      </c>
      <c r="J15" s="395">
        <f>Feed!$F$5*1000/12</f>
        <v>134250</v>
      </c>
      <c r="K15" s="395">
        <f>Feed!$F$5*1000/12</f>
        <v>134250</v>
      </c>
      <c r="L15" s="395">
        <f>Feed!$F$5*1000/12</f>
        <v>134250</v>
      </c>
      <c r="M15" s="395">
        <f>Feed!$F$5*1000/12</f>
        <v>134250</v>
      </c>
      <c r="N15" s="395">
        <f>Feed!$F$5*1000/12</f>
        <v>134250</v>
      </c>
      <c r="O15" s="395">
        <f>Feed!$F$5*1000/12</f>
        <v>134250</v>
      </c>
      <c r="P15" s="401">
        <f>Feed!$F$5*1000/12</f>
        <v>134250</v>
      </c>
      <c r="Q15" s="395">
        <f>Feed!$F$5*1000/12</f>
        <v>134250</v>
      </c>
      <c r="R15" s="395">
        <f>Feed!$F$5*1000/12</f>
        <v>134250</v>
      </c>
      <c r="S15" s="395">
        <f>Feed!$F$5*1000/12</f>
        <v>134250</v>
      </c>
      <c r="T15" s="395">
        <f>Feed!$F$5*1000/12</f>
        <v>134250</v>
      </c>
      <c r="U15" s="395">
        <f>Feed!$F$5*1000/12</f>
        <v>134250</v>
      </c>
      <c r="V15" s="395">
        <f>Feed!$F$5*1000/12</f>
        <v>134250</v>
      </c>
      <c r="W15" s="395">
        <f>Feed!$F$5*1000/12</f>
        <v>134250</v>
      </c>
      <c r="X15" s="395">
        <f>Feed!$F$5*1000/12</f>
        <v>134250</v>
      </c>
      <c r="Y15" s="395">
        <f>Feed!$F$5*1000/12</f>
        <v>134250</v>
      </c>
      <c r="Z15" s="395">
        <f>Feed!$F$5*1000/12</f>
        <v>134250</v>
      </c>
      <c r="AA15" s="395">
        <f>Feed!$F$5*1000/12</f>
        <v>134250</v>
      </c>
      <c r="AB15" s="395">
        <f>Feed!$F$5*1000/12</f>
        <v>134250</v>
      </c>
      <c r="AC15" s="395">
        <f>Feed!$F$5*1000/12</f>
        <v>134250</v>
      </c>
      <c r="AD15" s="395">
        <f>Feed!$F$5*1000/12</f>
        <v>134250</v>
      </c>
      <c r="AE15" s="401">
        <f>Feed!$F$5*1000/12</f>
        <v>134250</v>
      </c>
      <c r="AF15" s="395">
        <f>Feed!$F$5*1000/12</f>
        <v>134250</v>
      </c>
      <c r="AG15" s="395">
        <f>Feed!$F$5*1000/12</f>
        <v>134250</v>
      </c>
      <c r="AH15" s="395">
        <f>Feed!$F$5*1000/12</f>
        <v>134250</v>
      </c>
      <c r="AI15" s="395">
        <f>Feed!$F$5*1000/12</f>
        <v>134250</v>
      </c>
      <c r="AJ15" s="395">
        <f>Feed!$F$5*1000/12</f>
        <v>134250</v>
      </c>
      <c r="AK15" s="395">
        <f>Feed!$F$5*1000/12</f>
        <v>134250</v>
      </c>
      <c r="AL15" s="395">
        <f>Feed!$F$5*1000/12</f>
        <v>134250</v>
      </c>
      <c r="AM15" s="395">
        <f>Feed!$F$5*1000/12</f>
        <v>134250</v>
      </c>
      <c r="AN15" s="395">
        <f>Feed!$F$5*1000/12</f>
        <v>134250</v>
      </c>
      <c r="AO15" s="395">
        <f>Feed!$F$5*1000/12</f>
        <v>134250</v>
      </c>
      <c r="AP15" s="395">
        <f>Feed!$F$5*1000/12</f>
        <v>134250</v>
      </c>
      <c r="AQ15" s="395">
        <f>Feed!$F$5*1000/12</f>
        <v>134250</v>
      </c>
      <c r="AR15" s="395">
        <f>Feed!$F$5*1000/12</f>
        <v>134250</v>
      </c>
      <c r="AS15" s="395">
        <f>Feed!$F$5*1000/12</f>
        <v>134250</v>
      </c>
      <c r="AT15" s="395">
        <f>Feed!$F$5*1000/12</f>
        <v>134250</v>
      </c>
      <c r="AU15" s="395">
        <f>Feed!$F$5*1000/12</f>
        <v>134250</v>
      </c>
      <c r="AV15" s="395">
        <f>Feed!$F$5*1000/12</f>
        <v>134250</v>
      </c>
      <c r="AW15" s="395">
        <f>Feed!$F$5*1000/12</f>
        <v>134250</v>
      </c>
      <c r="AX15" s="395">
        <f>Feed!$F$5*1000/12</f>
        <v>134250</v>
      </c>
      <c r="AY15" s="395">
        <f>Feed!$F$5*1000/12</f>
        <v>134250</v>
      </c>
      <c r="AZ15" s="395">
        <f>Feed!$F$5*1000/12</f>
        <v>134250</v>
      </c>
      <c r="BA15" s="395">
        <f>Feed!$F$5*1000/12</f>
        <v>134250</v>
      </c>
      <c r="BB15" s="395">
        <f>Feed!$F$5*1000/12</f>
        <v>134250</v>
      </c>
      <c r="BC15" s="395">
        <f>Feed!$F$5*1000/12</f>
        <v>134250</v>
      </c>
      <c r="BD15" s="395">
        <f>Feed!$F$5*1000/12</f>
        <v>134250</v>
      </c>
      <c r="BE15" s="395">
        <f>Feed!$F$5*1000/12</f>
        <v>134250</v>
      </c>
      <c r="BF15" s="395">
        <f>Feed!$F$5*1000/12</f>
        <v>134250</v>
      </c>
      <c r="BG15" s="395">
        <f>Feed!$F$5*1000/12</f>
        <v>134250</v>
      </c>
      <c r="BH15" s="395">
        <f>Feed!$F$5*1000/12</f>
        <v>134250</v>
      </c>
      <c r="BI15" s="395">
        <f>Feed!$F$5*1000/12</f>
        <v>134250</v>
      </c>
      <c r="BJ15" s="395">
        <f>Feed!$F$5*1000/12</f>
        <v>134250</v>
      </c>
      <c r="BK15" s="395">
        <f>Feed!$F$5*1000/12</f>
        <v>134250</v>
      </c>
      <c r="BL15" s="395">
        <f>Feed!$F$5*1000/12</f>
        <v>134250</v>
      </c>
      <c r="BM15" s="395">
        <f>Feed!$F$5*1000/12</f>
        <v>134250</v>
      </c>
      <c r="BN15" s="395">
        <f>Feed!$F$5*1000/12</f>
        <v>134250</v>
      </c>
      <c r="BO15" s="395">
        <f>Feed!$F$5*1000/12</f>
        <v>134250</v>
      </c>
      <c r="BP15" s="395">
        <f>Feed!$F$5*1000/12</f>
        <v>134250</v>
      </c>
      <c r="BQ15" s="395">
        <f>Feed!$F$5*1000/12</f>
        <v>134250</v>
      </c>
      <c r="BR15" s="395">
        <f>Feed!$F$5*1000/12</f>
        <v>134250</v>
      </c>
      <c r="BS15" s="395">
        <f>Feed!$F$5*1000/12</f>
        <v>134250</v>
      </c>
      <c r="BT15" s="395">
        <f>Feed!$F$5*1000/12</f>
        <v>134250</v>
      </c>
      <c r="BU15" s="395">
        <f>Feed!$F$5*1000/12</f>
        <v>134250</v>
      </c>
      <c r="BV15" s="395">
        <f>Feed!$F$5*1000/12</f>
        <v>134250</v>
      </c>
      <c r="BW15" s="395">
        <f>Feed!$F$5*1000/12</f>
        <v>134250</v>
      </c>
      <c r="BX15" s="395">
        <f>Feed!$F$5*1000/12</f>
        <v>134250</v>
      </c>
      <c r="BY15" s="395">
        <f>Feed!$F$5*1000/12</f>
        <v>134250</v>
      </c>
      <c r="BZ15" s="395">
        <f>Feed!$F$5*1000/12</f>
        <v>134250</v>
      </c>
      <c r="CA15" s="395">
        <f>Feed!$F$5*1000/12</f>
        <v>134250</v>
      </c>
      <c r="CB15" s="395">
        <f>Feed!$F$5*1000/12</f>
        <v>134250</v>
      </c>
      <c r="CC15" s="395">
        <f>Feed!$F$5*1000/12</f>
        <v>134250</v>
      </c>
      <c r="CD15" s="395">
        <f>Feed!$F$5*1000/12</f>
        <v>134250</v>
      </c>
      <c r="CE15" s="395">
        <f>Feed!$F$5*1000/12</f>
        <v>134250</v>
      </c>
      <c r="CF15" s="395">
        <f>Feed!$F$5*1000/12</f>
        <v>134250</v>
      </c>
      <c r="CG15" s="395">
        <f>Feed!$F$5*1000/12</f>
        <v>134250</v>
      </c>
      <c r="CH15" s="395">
        <f>Feed!$F$5*1000/12</f>
        <v>134250</v>
      </c>
      <c r="CI15" s="395">
        <f>Feed!$F$5*1000/12</f>
        <v>134250</v>
      </c>
      <c r="CJ15" s="395">
        <f>Feed!$F$5*1000/12</f>
        <v>134250</v>
      </c>
      <c r="CK15" s="395">
        <f>Feed!$F$5*1000/12</f>
        <v>134250</v>
      </c>
      <c r="CL15" s="395">
        <f>Feed!$F$5*1000/12</f>
        <v>134250</v>
      </c>
      <c r="CM15" s="397">
        <f t="shared" ref="CM15:CM22" si="1">AVERAGE(G15:CL15)</f>
        <v>134250</v>
      </c>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c r="EB15" s="58"/>
      <c r="EC15" s="58"/>
      <c r="ED15" s="58"/>
      <c r="EE15" s="58"/>
      <c r="EF15" s="58"/>
      <c r="EG15" s="58"/>
      <c r="EH15" s="58"/>
      <c r="EI15" s="58"/>
      <c r="EJ15" s="58"/>
      <c r="EK15" s="58"/>
      <c r="EL15" s="58"/>
      <c r="EM15" s="58"/>
      <c r="EN15" s="58"/>
      <c r="EO15" s="58"/>
      <c r="EP15" s="58"/>
      <c r="EQ15" s="58"/>
      <c r="ER15" s="58"/>
      <c r="ES15" s="58"/>
      <c r="ET15" s="58"/>
      <c r="EU15" s="58"/>
      <c r="EV15" s="58"/>
      <c r="EW15" s="58"/>
      <c r="EX15" s="58"/>
      <c r="EY15" s="58"/>
      <c r="EZ15" s="58"/>
      <c r="FA15" s="58"/>
      <c r="FB15" s="58"/>
      <c r="FC15" s="58"/>
      <c r="FD15" s="58"/>
      <c r="FE15" s="58"/>
      <c r="FF15" s="58"/>
      <c r="FG15" s="58"/>
      <c r="FH15" s="58"/>
      <c r="FI15" s="58"/>
      <c r="FJ15" s="58"/>
      <c r="FK15" s="58"/>
      <c r="FL15" s="58"/>
      <c r="FM15" s="58"/>
      <c r="FN15" s="58"/>
      <c r="FO15" s="58"/>
      <c r="FP15" s="58"/>
      <c r="FQ15" s="58"/>
      <c r="FR15" s="58"/>
      <c r="FS15" s="58"/>
      <c r="FT15" s="58"/>
      <c r="FU15" s="58"/>
      <c r="FV15" s="58"/>
    </row>
    <row r="16" spans="1:178">
      <c r="A16" s="1067" t="s">
        <v>315</v>
      </c>
      <c r="B16" s="286" t="s">
        <v>312</v>
      </c>
      <c r="C16" s="356" t="s">
        <v>313</v>
      </c>
      <c r="D16" s="356"/>
      <c r="E16" s="1070" t="s">
        <v>316</v>
      </c>
      <c r="F16" s="402" t="s">
        <v>146</v>
      </c>
      <c r="G16" s="403">
        <f>(Feed!$G$11/12)*1000</f>
        <v>112302.65150886509</v>
      </c>
      <c r="H16" s="403">
        <f>(Feed!$G$11/12)*1000</f>
        <v>112302.65150886509</v>
      </c>
      <c r="I16" s="403">
        <f>(Feed!$G$11/12)*1000</f>
        <v>112302.65150886509</v>
      </c>
      <c r="J16" s="403">
        <f>(Feed!$G$11/12)*1000</f>
        <v>112302.65150886509</v>
      </c>
      <c r="K16" s="403">
        <f>(Feed!$G$11/12)*1000</f>
        <v>112302.65150886509</v>
      </c>
      <c r="L16" s="403">
        <f>(Feed!$G$11/12)*1000</f>
        <v>112302.65150886509</v>
      </c>
      <c r="M16" s="403">
        <f>(Feed!$G$11/12)*1000</f>
        <v>112302.65150886509</v>
      </c>
      <c r="N16" s="403">
        <f>(Feed!$G$11/12)*1000</f>
        <v>112302.65150886509</v>
      </c>
      <c r="O16" s="403">
        <f>(Feed!$G$11/12)*1000</f>
        <v>112302.65150886509</v>
      </c>
      <c r="P16" s="403">
        <f>(Feed!$G$11/12)*1000</f>
        <v>112302.65150886509</v>
      </c>
      <c r="Q16" s="403">
        <f>(Feed!$G$11/12)*1000</f>
        <v>112302.65150886509</v>
      </c>
      <c r="R16" s="403">
        <f>(Feed!$G$11/12)*1000</f>
        <v>112302.65150886509</v>
      </c>
      <c r="S16" s="403">
        <f>(Feed!$G$11/12)*1000</f>
        <v>112302.65150886509</v>
      </c>
      <c r="T16" s="403">
        <f>(Feed!$G$11/12)*1000</f>
        <v>112302.65150886509</v>
      </c>
      <c r="U16" s="403">
        <f>(Feed!$G$11/12)*1000</f>
        <v>112302.65150886509</v>
      </c>
      <c r="V16" s="403">
        <f>(Feed!$G$11/12)*1000</f>
        <v>112302.65150886509</v>
      </c>
      <c r="W16" s="403">
        <f>(Feed!$G$11/12)*1000</f>
        <v>112302.65150886509</v>
      </c>
      <c r="X16" s="403">
        <f>(Feed!$G$11/12)*1000</f>
        <v>112302.65150886509</v>
      </c>
      <c r="Y16" s="403">
        <f>(Feed!$G$11/12)*1000</f>
        <v>112302.65150886509</v>
      </c>
      <c r="Z16" s="403">
        <f>(Feed!$G$11/12)*1000</f>
        <v>112302.65150886509</v>
      </c>
      <c r="AA16" s="403">
        <f>(Feed!$G$11/12)*1000</f>
        <v>112302.65150886509</v>
      </c>
      <c r="AB16" s="403">
        <f>(Feed!$G$11/12)*1000</f>
        <v>112302.65150886509</v>
      </c>
      <c r="AC16" s="403">
        <f>(Feed!$G$11/12)*1000</f>
        <v>112302.65150886509</v>
      </c>
      <c r="AD16" s="403">
        <f>(Feed!$G$11/12)*1000</f>
        <v>112302.65150886509</v>
      </c>
      <c r="AE16" s="403">
        <f>(Feed!$G$11/12)*1000</f>
        <v>112302.65150886509</v>
      </c>
      <c r="AF16" s="403">
        <f>(Feed!$G$11/12)*1000</f>
        <v>112302.65150886509</v>
      </c>
      <c r="AG16" s="403">
        <f>(Feed!$G$11/12)*1000</f>
        <v>112302.65150886509</v>
      </c>
      <c r="AH16" s="403">
        <f>(Feed!$G$11/12)*1000</f>
        <v>112302.65150886509</v>
      </c>
      <c r="AI16" s="403">
        <f>(Feed!$G$11/12)*1000</f>
        <v>112302.65150886509</v>
      </c>
      <c r="AJ16" s="403">
        <f>(Feed!$G$11/12)*1000</f>
        <v>112302.65150886509</v>
      </c>
      <c r="AK16" s="403">
        <f>(Feed!$G$11/12)*1000</f>
        <v>112302.65150886509</v>
      </c>
      <c r="AL16" s="403">
        <f>(Feed!$G$11/12)*1000</f>
        <v>112302.65150886509</v>
      </c>
      <c r="AM16" s="403">
        <f>(Feed!$G$11/12)*1000</f>
        <v>112302.65150886509</v>
      </c>
      <c r="AN16" s="403">
        <f>(Feed!$G$11/12)*1000</f>
        <v>112302.65150886509</v>
      </c>
      <c r="AO16" s="403">
        <f>(Feed!$G$11/12)*1000</f>
        <v>112302.65150886509</v>
      </c>
      <c r="AP16" s="403">
        <f>(Feed!$G$11/12)*1000</f>
        <v>112302.65150886509</v>
      </c>
      <c r="AQ16" s="403">
        <f>(Feed!$G$11/12)*1000</f>
        <v>112302.65150886509</v>
      </c>
      <c r="AR16" s="403">
        <f>(Feed!$G$11/12)*1000</f>
        <v>112302.65150886509</v>
      </c>
      <c r="AS16" s="403">
        <f>(Feed!$G$11/12)*1000</f>
        <v>112302.65150886509</v>
      </c>
      <c r="AT16" s="403">
        <f>(Feed!$G$11/12)*1000</f>
        <v>112302.65150886509</v>
      </c>
      <c r="AU16" s="403">
        <f>(Feed!$G$11/12)*1000</f>
        <v>112302.65150886509</v>
      </c>
      <c r="AV16" s="403">
        <f>(Feed!$G$11/12)*1000</f>
        <v>112302.65150886509</v>
      </c>
      <c r="AW16" s="403">
        <f>(Feed!$G$11/12)*1000</f>
        <v>112302.65150886509</v>
      </c>
      <c r="AX16" s="403">
        <f>(Feed!$G$11/12)*1000</f>
        <v>112302.65150886509</v>
      </c>
      <c r="AY16" s="403">
        <f>(Feed!$G$11/12)*1000</f>
        <v>112302.65150886509</v>
      </c>
      <c r="AZ16" s="403">
        <f>(Feed!$G$11/12)*1000</f>
        <v>112302.65150886509</v>
      </c>
      <c r="BA16" s="403">
        <f>(Feed!$G$11/12)*1000</f>
        <v>112302.65150886509</v>
      </c>
      <c r="BB16" s="403">
        <f>(Feed!$G$11/12)*1000</f>
        <v>112302.65150886509</v>
      </c>
      <c r="BC16" s="403">
        <f>(Feed!$G$11/12)*1000</f>
        <v>112302.65150886509</v>
      </c>
      <c r="BD16" s="403">
        <f>(Feed!$G$11/12)*1000</f>
        <v>112302.65150886509</v>
      </c>
      <c r="BE16" s="403">
        <f>(Feed!$G$11/12)*1000</f>
        <v>112302.65150886509</v>
      </c>
      <c r="BF16" s="403">
        <f>(Feed!$G$11/12)*1000</f>
        <v>112302.65150886509</v>
      </c>
      <c r="BG16" s="403">
        <f>(Feed!$G$11/12)*1000</f>
        <v>112302.65150886509</v>
      </c>
      <c r="BH16" s="403">
        <f>(Feed!$G$11/12)*1000</f>
        <v>112302.65150886509</v>
      </c>
      <c r="BI16" s="403">
        <f>(Feed!$G$11/12)*1000</f>
        <v>112302.65150886509</v>
      </c>
      <c r="BJ16" s="403">
        <f>(Feed!$G$11/12)*1000</f>
        <v>112302.65150886509</v>
      </c>
      <c r="BK16" s="403">
        <f>(Feed!$G$11/12)*1000</f>
        <v>112302.65150886509</v>
      </c>
      <c r="BL16" s="403">
        <f>(Feed!$G$11/12)*1000</f>
        <v>112302.65150886509</v>
      </c>
      <c r="BM16" s="403">
        <f>(Feed!$G$11/12)*1000</f>
        <v>112302.65150886509</v>
      </c>
      <c r="BN16" s="403">
        <f>(Feed!$G$11/12)*1000</f>
        <v>112302.65150886509</v>
      </c>
      <c r="BO16" s="403">
        <f>(Feed!$G$11/12)*1000</f>
        <v>112302.65150886509</v>
      </c>
      <c r="BP16" s="403">
        <f>(Feed!$G$11/12)*1000</f>
        <v>112302.65150886509</v>
      </c>
      <c r="BQ16" s="403">
        <f>(Feed!$G$11/12)*1000</f>
        <v>112302.65150886509</v>
      </c>
      <c r="BR16" s="403">
        <f>(Feed!$G$11/12)*1000</f>
        <v>112302.65150886509</v>
      </c>
      <c r="BS16" s="403">
        <f>(Feed!$G$11/12)*1000</f>
        <v>112302.65150886509</v>
      </c>
      <c r="BT16" s="403">
        <f>(Feed!$G$11/12)*1000</f>
        <v>112302.65150886509</v>
      </c>
      <c r="BU16" s="403">
        <f>(Feed!$G$11/12)*1000</f>
        <v>112302.65150886509</v>
      </c>
      <c r="BV16" s="403">
        <f>(Feed!$G$11/12)*1000</f>
        <v>112302.65150886509</v>
      </c>
      <c r="BW16" s="403">
        <f>(Feed!$G$11/12)*1000</f>
        <v>112302.65150886509</v>
      </c>
      <c r="BX16" s="403">
        <f>(Feed!$G$11/12)*1000</f>
        <v>112302.65150886509</v>
      </c>
      <c r="BY16" s="403">
        <f>(Feed!$G$11/12)*1000</f>
        <v>112302.65150886509</v>
      </c>
      <c r="BZ16" s="403">
        <f>(Feed!$G$11/12)*1000</f>
        <v>112302.65150886509</v>
      </c>
      <c r="CA16" s="403">
        <f>(Feed!$G$11/12)*1000</f>
        <v>112302.65150886509</v>
      </c>
      <c r="CB16" s="403">
        <f>(Feed!$G$11/12)*1000</f>
        <v>112302.65150886509</v>
      </c>
      <c r="CC16" s="403">
        <f>(Feed!$G$11/12)*1000</f>
        <v>112302.65150886509</v>
      </c>
      <c r="CD16" s="403">
        <f>(Feed!$G$11/12)*1000</f>
        <v>112302.65150886509</v>
      </c>
      <c r="CE16" s="403">
        <f>(Feed!$G$11/12)*1000</f>
        <v>112302.65150886509</v>
      </c>
      <c r="CF16" s="403">
        <f>(Feed!$G$11/12)*1000</f>
        <v>112302.65150886509</v>
      </c>
      <c r="CG16" s="403">
        <f>(Feed!$G$11/12)*1000</f>
        <v>112302.65150886509</v>
      </c>
      <c r="CH16" s="403">
        <f>(Feed!$G$11/12)*1000</f>
        <v>112302.65150886509</v>
      </c>
      <c r="CI16" s="403">
        <f>(Feed!$G$11/12)*1000</f>
        <v>112302.65150886509</v>
      </c>
      <c r="CJ16" s="403">
        <f>(Feed!$G$11/12)*1000</f>
        <v>112302.65150886509</v>
      </c>
      <c r="CK16" s="403">
        <f>(Feed!$G$11/12)*1000</f>
        <v>112302.65150886509</v>
      </c>
      <c r="CL16" s="403">
        <f>(Feed!$G$11/12)*1000</f>
        <v>112302.65150886509</v>
      </c>
      <c r="CM16" s="403">
        <f>(Feed!$G$11/12)*1000</f>
        <v>112302.65150886509</v>
      </c>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58"/>
      <c r="EC16" s="58"/>
      <c r="ED16" s="58"/>
      <c r="EE16" s="58"/>
      <c r="EF16" s="58"/>
      <c r="EG16" s="58"/>
      <c r="EH16" s="58"/>
      <c r="EI16" s="58"/>
      <c r="EJ16" s="58"/>
      <c r="EK16" s="58"/>
      <c r="EL16" s="58"/>
      <c r="EM16" s="58"/>
      <c r="EN16" s="58"/>
      <c r="EO16" s="58"/>
      <c r="EP16" s="58"/>
      <c r="EQ16" s="58"/>
      <c r="ER16" s="58"/>
      <c r="ES16" s="58"/>
      <c r="ET16" s="58"/>
      <c r="EU16" s="58"/>
      <c r="EV16" s="58"/>
      <c r="EW16" s="58"/>
      <c r="EX16" s="58"/>
      <c r="EY16" s="58"/>
      <c r="EZ16" s="58"/>
      <c r="FA16" s="58"/>
      <c r="FB16" s="58"/>
      <c r="FC16" s="58"/>
      <c r="FD16" s="58"/>
      <c r="FE16" s="58"/>
      <c r="FF16" s="58"/>
      <c r="FG16" s="58"/>
      <c r="FH16" s="58"/>
      <c r="FI16" s="58"/>
      <c r="FJ16" s="58"/>
      <c r="FK16" s="58"/>
      <c r="FL16" s="58"/>
      <c r="FM16" s="58"/>
      <c r="FN16" s="58"/>
      <c r="FO16" s="58"/>
      <c r="FP16" s="58"/>
      <c r="FQ16" s="58"/>
      <c r="FR16" s="58"/>
      <c r="FS16" s="58"/>
      <c r="FT16" s="58"/>
      <c r="FU16" s="58"/>
      <c r="FV16" s="58"/>
    </row>
    <row r="17" spans="1:178">
      <c r="A17" s="1068"/>
      <c r="B17" s="2" t="s">
        <v>312</v>
      </c>
      <c r="C17" s="362" t="s">
        <v>313</v>
      </c>
      <c r="D17" s="362"/>
      <c r="E17" s="1071"/>
      <c r="F17" s="404" t="s">
        <v>2</v>
      </c>
      <c r="G17" s="405">
        <f>(Feed!$G$12/12)*1000</f>
        <v>43043.967354023174</v>
      </c>
      <c r="H17" s="405">
        <f>(Feed!$G$12/12)*1000</f>
        <v>43043.967354023174</v>
      </c>
      <c r="I17" s="405">
        <f>(Feed!$G$12/12)*1000</f>
        <v>43043.967354023174</v>
      </c>
      <c r="J17" s="405">
        <f>(Feed!$G$12/12)*1000</f>
        <v>43043.967354023174</v>
      </c>
      <c r="K17" s="405">
        <f>(Feed!$G$12/12)*1000</f>
        <v>43043.967354023174</v>
      </c>
      <c r="L17" s="405">
        <f>(Feed!$G$12/12)*1000</f>
        <v>43043.967354023174</v>
      </c>
      <c r="M17" s="405">
        <f>(Feed!$G$12/12)*1000</f>
        <v>43043.967354023174</v>
      </c>
      <c r="N17" s="405">
        <f>(Feed!$G$12/12)*1000</f>
        <v>43043.967354023174</v>
      </c>
      <c r="O17" s="405">
        <f>(Feed!$G$12/12)*1000</f>
        <v>43043.967354023174</v>
      </c>
      <c r="P17" s="405">
        <f>(Feed!$G$12/12)*1000</f>
        <v>43043.967354023174</v>
      </c>
      <c r="Q17" s="405">
        <f>(Feed!$G$12/12)*1000</f>
        <v>43043.967354023174</v>
      </c>
      <c r="R17" s="405">
        <f>(Feed!$G$12/12)*1000</f>
        <v>43043.967354023174</v>
      </c>
      <c r="S17" s="405">
        <f>(Feed!$G$12/12)*1000</f>
        <v>43043.967354023174</v>
      </c>
      <c r="T17" s="405">
        <f>(Feed!$G$12/12)*1000</f>
        <v>43043.967354023174</v>
      </c>
      <c r="U17" s="405">
        <f>(Feed!$G$12/12)*1000</f>
        <v>43043.967354023174</v>
      </c>
      <c r="V17" s="405">
        <f>(Feed!$G$12/12)*1000</f>
        <v>43043.967354023174</v>
      </c>
      <c r="W17" s="405">
        <f>(Feed!$G$12/12)*1000</f>
        <v>43043.967354023174</v>
      </c>
      <c r="X17" s="405">
        <f>(Feed!$G$12/12)*1000</f>
        <v>43043.967354023174</v>
      </c>
      <c r="Y17" s="405">
        <f>(Feed!$G$12/12)*1000</f>
        <v>43043.967354023174</v>
      </c>
      <c r="Z17" s="405">
        <f>(Feed!$G$12/12)*1000</f>
        <v>43043.967354023174</v>
      </c>
      <c r="AA17" s="405">
        <f>(Feed!$G$12/12)*1000</f>
        <v>43043.967354023174</v>
      </c>
      <c r="AB17" s="405">
        <f>(Feed!$G$12/12)*1000</f>
        <v>43043.967354023174</v>
      </c>
      <c r="AC17" s="405">
        <f>(Feed!$G$12/12)*1000</f>
        <v>43043.967354023174</v>
      </c>
      <c r="AD17" s="405">
        <f>(Feed!$G$12/12)*1000</f>
        <v>43043.967354023174</v>
      </c>
      <c r="AE17" s="405">
        <f>(Feed!$G$12/12)*1000</f>
        <v>43043.967354023174</v>
      </c>
      <c r="AF17" s="405">
        <f>(Feed!$G$12/12)*1000</f>
        <v>43043.967354023174</v>
      </c>
      <c r="AG17" s="405">
        <f>(Feed!$G$12/12)*1000</f>
        <v>43043.967354023174</v>
      </c>
      <c r="AH17" s="405">
        <f>(Feed!$G$12/12)*1000</f>
        <v>43043.967354023174</v>
      </c>
      <c r="AI17" s="405">
        <f>(Feed!$G$12/12)*1000</f>
        <v>43043.967354023174</v>
      </c>
      <c r="AJ17" s="405">
        <f>(Feed!$G$12/12)*1000</f>
        <v>43043.967354023174</v>
      </c>
      <c r="AK17" s="405">
        <f>(Feed!$G$12/12)*1000</f>
        <v>43043.967354023174</v>
      </c>
      <c r="AL17" s="405">
        <f>(Feed!$G$12/12)*1000</f>
        <v>43043.967354023174</v>
      </c>
      <c r="AM17" s="405">
        <f>(Feed!$G$12/12)*1000</f>
        <v>43043.967354023174</v>
      </c>
      <c r="AN17" s="405">
        <f>(Feed!$G$12/12)*1000</f>
        <v>43043.967354023174</v>
      </c>
      <c r="AO17" s="405">
        <f>(Feed!$G$12/12)*1000</f>
        <v>43043.967354023174</v>
      </c>
      <c r="AP17" s="405">
        <f>(Feed!$G$12/12)*1000</f>
        <v>43043.967354023174</v>
      </c>
      <c r="AQ17" s="405">
        <f>(Feed!$G$12/12)*1000</f>
        <v>43043.967354023174</v>
      </c>
      <c r="AR17" s="405">
        <f>(Feed!$G$12/12)*1000</f>
        <v>43043.967354023174</v>
      </c>
      <c r="AS17" s="405">
        <f>(Feed!$G$12/12)*1000</f>
        <v>43043.967354023174</v>
      </c>
      <c r="AT17" s="405">
        <f>(Feed!$G$12/12)*1000</f>
        <v>43043.967354023174</v>
      </c>
      <c r="AU17" s="405">
        <f>(Feed!$G$12/12)*1000</f>
        <v>43043.967354023174</v>
      </c>
      <c r="AV17" s="405">
        <f>(Feed!$G$12/12)*1000</f>
        <v>43043.967354023174</v>
      </c>
      <c r="AW17" s="405">
        <f>(Feed!$G$12/12)*1000</f>
        <v>43043.967354023174</v>
      </c>
      <c r="AX17" s="405">
        <f>(Feed!$G$12/12)*1000</f>
        <v>43043.967354023174</v>
      </c>
      <c r="AY17" s="405">
        <f>(Feed!$G$12/12)*1000</f>
        <v>43043.967354023174</v>
      </c>
      <c r="AZ17" s="405">
        <f>(Feed!$G$12/12)*1000</f>
        <v>43043.967354023174</v>
      </c>
      <c r="BA17" s="405">
        <f>(Feed!$G$12/12)*1000</f>
        <v>43043.967354023174</v>
      </c>
      <c r="BB17" s="405">
        <f>(Feed!$G$12/12)*1000</f>
        <v>43043.967354023174</v>
      </c>
      <c r="BC17" s="405">
        <f>(Feed!$G$12/12)*1000</f>
        <v>43043.967354023174</v>
      </c>
      <c r="BD17" s="405">
        <f>(Feed!$G$12/12)*1000</f>
        <v>43043.967354023174</v>
      </c>
      <c r="BE17" s="405">
        <f>(Feed!$G$12/12)*1000</f>
        <v>43043.967354023174</v>
      </c>
      <c r="BF17" s="405">
        <f>(Feed!$G$12/12)*1000</f>
        <v>43043.967354023174</v>
      </c>
      <c r="BG17" s="405">
        <f>(Feed!$G$12/12)*1000</f>
        <v>43043.967354023174</v>
      </c>
      <c r="BH17" s="405">
        <f>(Feed!$G$12/12)*1000</f>
        <v>43043.967354023174</v>
      </c>
      <c r="BI17" s="405">
        <f>(Feed!$G$12/12)*1000</f>
        <v>43043.967354023174</v>
      </c>
      <c r="BJ17" s="405">
        <f>(Feed!$G$12/12)*1000</f>
        <v>43043.967354023174</v>
      </c>
      <c r="BK17" s="405">
        <f>(Feed!$G$12/12)*1000</f>
        <v>43043.967354023174</v>
      </c>
      <c r="BL17" s="405">
        <f>(Feed!$G$12/12)*1000</f>
        <v>43043.967354023174</v>
      </c>
      <c r="BM17" s="405">
        <f>(Feed!$G$12/12)*1000</f>
        <v>43043.967354023174</v>
      </c>
      <c r="BN17" s="405">
        <f>(Feed!$G$12/12)*1000</f>
        <v>43043.967354023174</v>
      </c>
      <c r="BO17" s="405">
        <f>(Feed!$G$12/12)*1000</f>
        <v>43043.967354023174</v>
      </c>
      <c r="BP17" s="405">
        <f>(Feed!$G$12/12)*1000</f>
        <v>43043.967354023174</v>
      </c>
      <c r="BQ17" s="405">
        <f>(Feed!$G$12/12)*1000</f>
        <v>43043.967354023174</v>
      </c>
      <c r="BR17" s="405">
        <f>(Feed!$G$12/12)*1000</f>
        <v>43043.967354023174</v>
      </c>
      <c r="BS17" s="405">
        <f>(Feed!$G$12/12)*1000</f>
        <v>43043.967354023174</v>
      </c>
      <c r="BT17" s="405">
        <f>(Feed!$G$12/12)*1000</f>
        <v>43043.967354023174</v>
      </c>
      <c r="BU17" s="405">
        <f>(Feed!$G$12/12)*1000</f>
        <v>43043.967354023174</v>
      </c>
      <c r="BV17" s="405">
        <f>(Feed!$G$12/12)*1000</f>
        <v>43043.967354023174</v>
      </c>
      <c r="BW17" s="405">
        <f>(Feed!$G$12/12)*1000</f>
        <v>43043.967354023174</v>
      </c>
      <c r="BX17" s="405">
        <f>(Feed!$G$12/12)*1000</f>
        <v>43043.967354023174</v>
      </c>
      <c r="BY17" s="405">
        <f>(Feed!$G$12/12)*1000</f>
        <v>43043.967354023174</v>
      </c>
      <c r="BZ17" s="405">
        <f>(Feed!$G$12/12)*1000</f>
        <v>43043.967354023174</v>
      </c>
      <c r="CA17" s="405">
        <f>(Feed!$G$12/12)*1000</f>
        <v>43043.967354023174</v>
      </c>
      <c r="CB17" s="405">
        <f>(Feed!$G$12/12)*1000</f>
        <v>43043.967354023174</v>
      </c>
      <c r="CC17" s="405">
        <f>(Feed!$G$12/12)*1000</f>
        <v>43043.967354023174</v>
      </c>
      <c r="CD17" s="405">
        <f>(Feed!$G$12/12)*1000</f>
        <v>43043.967354023174</v>
      </c>
      <c r="CE17" s="405">
        <f>(Feed!$G$12/12)*1000</f>
        <v>43043.967354023174</v>
      </c>
      <c r="CF17" s="405">
        <f>(Feed!$G$12/12)*1000</f>
        <v>43043.967354023174</v>
      </c>
      <c r="CG17" s="405">
        <f>(Feed!$G$12/12)*1000</f>
        <v>43043.967354023174</v>
      </c>
      <c r="CH17" s="405">
        <f>(Feed!$G$12/12)*1000</f>
        <v>43043.967354023174</v>
      </c>
      <c r="CI17" s="405">
        <f>(Feed!$G$12/12)*1000</f>
        <v>43043.967354023174</v>
      </c>
      <c r="CJ17" s="405">
        <f>(Feed!$G$12/12)*1000</f>
        <v>43043.967354023174</v>
      </c>
      <c r="CK17" s="405">
        <f>(Feed!$G$12/12)*1000</f>
        <v>43043.967354023174</v>
      </c>
      <c r="CL17" s="405">
        <f>(Feed!$G$12/12)*1000</f>
        <v>43043.967354023174</v>
      </c>
      <c r="CM17" s="405">
        <f>(Feed!$G$12/12)*1000</f>
        <v>43043.967354023174</v>
      </c>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58"/>
      <c r="EC17" s="58"/>
      <c r="ED17" s="58"/>
      <c r="EE17" s="58"/>
      <c r="EF17" s="58"/>
      <c r="EG17" s="58"/>
      <c r="EH17" s="58"/>
      <c r="EI17" s="58"/>
      <c r="EJ17" s="58"/>
      <c r="EK17" s="58"/>
      <c r="EL17" s="58"/>
      <c r="EM17" s="58"/>
      <c r="EN17" s="58"/>
      <c r="EO17" s="58"/>
      <c r="EP17" s="58"/>
      <c r="EQ17" s="58"/>
      <c r="ER17" s="58"/>
      <c r="ES17" s="58"/>
      <c r="ET17" s="58"/>
      <c r="EU17" s="58"/>
      <c r="EV17" s="58"/>
      <c r="EW17" s="58"/>
      <c r="EX17" s="58"/>
      <c r="EY17" s="58"/>
      <c r="EZ17" s="58"/>
      <c r="FA17" s="58"/>
      <c r="FB17" s="58"/>
      <c r="FC17" s="58"/>
      <c r="FD17" s="58"/>
      <c r="FE17" s="58"/>
      <c r="FF17" s="58"/>
      <c r="FG17" s="58"/>
      <c r="FH17" s="58"/>
      <c r="FI17" s="58"/>
      <c r="FJ17" s="58"/>
      <c r="FK17" s="58"/>
      <c r="FL17" s="58"/>
      <c r="FM17" s="58"/>
      <c r="FN17" s="58"/>
      <c r="FO17" s="58"/>
      <c r="FP17" s="58"/>
      <c r="FQ17" s="58"/>
      <c r="FR17" s="58"/>
      <c r="FS17" s="58"/>
      <c r="FT17" s="58"/>
      <c r="FU17" s="58"/>
      <c r="FV17" s="58"/>
    </row>
    <row r="18" spans="1:178">
      <c r="A18" s="1068"/>
      <c r="B18" s="2" t="s">
        <v>312</v>
      </c>
      <c r="C18" s="362" t="s">
        <v>313</v>
      </c>
      <c r="D18" s="362"/>
      <c r="E18" s="1071"/>
      <c r="F18" s="404" t="str">
        <f>F7</f>
        <v xml:space="preserve">Benzene </v>
      </c>
      <c r="G18" s="405">
        <f>Feed!$G14*1000/12</f>
        <v>11805.984587171182</v>
      </c>
      <c r="H18" s="405">
        <f>Feed!$G14*1000/12</f>
        <v>11805.984587171182</v>
      </c>
      <c r="I18" s="405">
        <f>Feed!$G14*1000/12</f>
        <v>11805.984587171182</v>
      </c>
      <c r="J18" s="405">
        <f>Feed!$G14*1000/12</f>
        <v>11805.984587171182</v>
      </c>
      <c r="K18" s="405">
        <f>Feed!$G14*1000/12</f>
        <v>11805.984587171182</v>
      </c>
      <c r="L18" s="405">
        <f>Feed!$G14*1000/12</f>
        <v>11805.984587171182</v>
      </c>
      <c r="M18" s="405">
        <f>Feed!$G14*1000/12</f>
        <v>11805.984587171182</v>
      </c>
      <c r="N18" s="405">
        <f>Feed!$G14*1000/12</f>
        <v>11805.984587171182</v>
      </c>
      <c r="O18" s="405">
        <f>Feed!$G14*1000/12</f>
        <v>11805.984587171182</v>
      </c>
      <c r="P18" s="405">
        <f>Feed!$G14*1000/12</f>
        <v>11805.984587171182</v>
      </c>
      <c r="Q18" s="405">
        <f>Feed!$G14*1000/12</f>
        <v>11805.984587171182</v>
      </c>
      <c r="R18" s="405">
        <f>Feed!$G14*1000/12</f>
        <v>11805.984587171182</v>
      </c>
      <c r="S18" s="405">
        <f>Feed!$G14*1000/12</f>
        <v>11805.984587171182</v>
      </c>
      <c r="T18" s="405">
        <f>Feed!$G14*1000/12</f>
        <v>11805.984587171182</v>
      </c>
      <c r="U18" s="405">
        <f>Feed!$G14*1000/12</f>
        <v>11805.984587171182</v>
      </c>
      <c r="V18" s="405">
        <f>Feed!$G14*1000/12</f>
        <v>11805.984587171182</v>
      </c>
      <c r="W18" s="405">
        <f>Feed!$G14*1000/12</f>
        <v>11805.984587171182</v>
      </c>
      <c r="X18" s="405">
        <f>Feed!$G14*1000/12</f>
        <v>11805.984587171182</v>
      </c>
      <c r="Y18" s="405">
        <f>Feed!$G14*1000/12</f>
        <v>11805.984587171182</v>
      </c>
      <c r="Z18" s="405">
        <f>Feed!$G14*1000/12</f>
        <v>11805.984587171182</v>
      </c>
      <c r="AA18" s="405">
        <f>Feed!$G14*1000/12</f>
        <v>11805.984587171182</v>
      </c>
      <c r="AB18" s="405">
        <f>Feed!$G14*1000/12</f>
        <v>11805.984587171182</v>
      </c>
      <c r="AC18" s="405">
        <f>Feed!$G14*1000/12</f>
        <v>11805.984587171182</v>
      </c>
      <c r="AD18" s="405">
        <f>Feed!$G14*1000/12</f>
        <v>11805.984587171182</v>
      </c>
      <c r="AE18" s="405">
        <f>Feed!$G14*1000/12</f>
        <v>11805.984587171182</v>
      </c>
      <c r="AF18" s="405">
        <f>Feed!$G14*1000/12</f>
        <v>11805.984587171182</v>
      </c>
      <c r="AG18" s="405">
        <f>Feed!$G14*1000/12</f>
        <v>11805.984587171182</v>
      </c>
      <c r="AH18" s="405">
        <f>Feed!$G14*1000/12</f>
        <v>11805.984587171182</v>
      </c>
      <c r="AI18" s="405">
        <f>Feed!$G14*1000/12</f>
        <v>11805.984587171182</v>
      </c>
      <c r="AJ18" s="405">
        <f>Feed!$G14*1000/12</f>
        <v>11805.984587171182</v>
      </c>
      <c r="AK18" s="405">
        <f>Feed!$G14*1000/12</f>
        <v>11805.984587171182</v>
      </c>
      <c r="AL18" s="405">
        <f>Feed!$G14*1000/12</f>
        <v>11805.984587171182</v>
      </c>
      <c r="AM18" s="405">
        <f>Feed!$G14*1000/12</f>
        <v>11805.984587171182</v>
      </c>
      <c r="AN18" s="405">
        <f>Feed!$G14*1000/12</f>
        <v>11805.984587171182</v>
      </c>
      <c r="AO18" s="405">
        <f>Feed!$G14*1000/12</f>
        <v>11805.984587171182</v>
      </c>
      <c r="AP18" s="405">
        <f>Feed!$G14*1000/12</f>
        <v>11805.984587171182</v>
      </c>
      <c r="AQ18" s="405">
        <f>Feed!$G14*1000/12</f>
        <v>11805.984587171182</v>
      </c>
      <c r="AR18" s="405">
        <f>Feed!$G14*1000/12</f>
        <v>11805.984587171182</v>
      </c>
      <c r="AS18" s="405">
        <f>Feed!$G14*1000/12</f>
        <v>11805.984587171182</v>
      </c>
      <c r="AT18" s="405">
        <f>Feed!$G14*1000/12</f>
        <v>11805.984587171182</v>
      </c>
      <c r="AU18" s="405">
        <f>Feed!$G14*1000/12</f>
        <v>11805.984587171182</v>
      </c>
      <c r="AV18" s="405">
        <f>Feed!$G14*1000/12</f>
        <v>11805.984587171182</v>
      </c>
      <c r="AW18" s="405">
        <f>Feed!$G14*1000/12</f>
        <v>11805.984587171182</v>
      </c>
      <c r="AX18" s="405">
        <f>Feed!$G14*1000/12</f>
        <v>11805.984587171182</v>
      </c>
      <c r="AY18" s="405">
        <f>Feed!$G14*1000/12</f>
        <v>11805.984587171182</v>
      </c>
      <c r="AZ18" s="405">
        <f>Feed!$G14*1000/12</f>
        <v>11805.984587171182</v>
      </c>
      <c r="BA18" s="405">
        <f>Feed!$G14*1000/12</f>
        <v>11805.984587171182</v>
      </c>
      <c r="BB18" s="405">
        <f>Feed!$G14*1000/12</f>
        <v>11805.984587171182</v>
      </c>
      <c r="BC18" s="405">
        <f>Feed!$G14*1000/12</f>
        <v>11805.984587171182</v>
      </c>
      <c r="BD18" s="405">
        <f>Feed!$G14*1000/12</f>
        <v>11805.984587171182</v>
      </c>
      <c r="BE18" s="405">
        <f>Feed!$G14*1000/12</f>
        <v>11805.984587171182</v>
      </c>
      <c r="BF18" s="405">
        <f>Feed!$G14*1000/12</f>
        <v>11805.984587171182</v>
      </c>
      <c r="BG18" s="405">
        <f>Feed!$G14*1000/12</f>
        <v>11805.984587171182</v>
      </c>
      <c r="BH18" s="405">
        <f>Feed!$G14*1000/12</f>
        <v>11805.984587171182</v>
      </c>
      <c r="BI18" s="405">
        <f>Feed!$G14*1000/12</f>
        <v>11805.984587171182</v>
      </c>
      <c r="BJ18" s="405">
        <f>Feed!$G14*1000/12</f>
        <v>11805.984587171182</v>
      </c>
      <c r="BK18" s="405">
        <f>Feed!$G14*1000/12</f>
        <v>11805.984587171182</v>
      </c>
      <c r="BL18" s="405">
        <f>Feed!$G14*1000/12</f>
        <v>11805.984587171182</v>
      </c>
      <c r="BM18" s="405">
        <f>Feed!$G14*1000/12</f>
        <v>11805.984587171182</v>
      </c>
      <c r="BN18" s="405">
        <f>Feed!$G14*1000/12</f>
        <v>11805.984587171182</v>
      </c>
      <c r="BO18" s="405">
        <f>Feed!$G14*1000/12</f>
        <v>11805.984587171182</v>
      </c>
      <c r="BP18" s="405">
        <f>Feed!$G14*1000/12</f>
        <v>11805.984587171182</v>
      </c>
      <c r="BQ18" s="405">
        <f>Feed!$G14*1000/12</f>
        <v>11805.984587171182</v>
      </c>
      <c r="BR18" s="405">
        <f>Feed!$G14*1000/12</f>
        <v>11805.984587171182</v>
      </c>
      <c r="BS18" s="405">
        <f>Feed!$G14*1000/12</f>
        <v>11805.984587171182</v>
      </c>
      <c r="BT18" s="405">
        <f>Feed!$G14*1000/12</f>
        <v>11805.984587171182</v>
      </c>
      <c r="BU18" s="405">
        <f>Feed!$G14*1000/12</f>
        <v>11805.984587171182</v>
      </c>
      <c r="BV18" s="405">
        <f>Feed!$G14*1000/12</f>
        <v>11805.984587171182</v>
      </c>
      <c r="BW18" s="405">
        <f>Feed!$G14*1000/12</f>
        <v>11805.984587171182</v>
      </c>
      <c r="BX18" s="405">
        <f>Feed!$G14*1000/12</f>
        <v>11805.984587171182</v>
      </c>
      <c r="BY18" s="405">
        <f>Feed!$G14*1000/12</f>
        <v>11805.984587171182</v>
      </c>
      <c r="BZ18" s="405">
        <f>Feed!$G14*1000/12</f>
        <v>11805.984587171182</v>
      </c>
      <c r="CA18" s="405">
        <f>Feed!$G14*1000/12</f>
        <v>11805.984587171182</v>
      </c>
      <c r="CB18" s="405">
        <f>Feed!$G14*1000/12</f>
        <v>11805.984587171182</v>
      </c>
      <c r="CC18" s="405">
        <f>Feed!$G14*1000/12</f>
        <v>11805.984587171182</v>
      </c>
      <c r="CD18" s="405">
        <f>Feed!$G14*1000/12</f>
        <v>11805.984587171182</v>
      </c>
      <c r="CE18" s="405">
        <f>Feed!$G14*1000/12</f>
        <v>11805.984587171182</v>
      </c>
      <c r="CF18" s="405">
        <f>Feed!$G14*1000/12</f>
        <v>11805.984587171182</v>
      </c>
      <c r="CG18" s="405">
        <f>Feed!$G14*1000/12</f>
        <v>11805.984587171182</v>
      </c>
      <c r="CH18" s="405">
        <f>Feed!$G14*1000/12</f>
        <v>11805.984587171182</v>
      </c>
      <c r="CI18" s="405">
        <f>Feed!$G14*1000/12</f>
        <v>11805.984587171182</v>
      </c>
      <c r="CJ18" s="405">
        <f>Feed!$G14*1000/12</f>
        <v>11805.984587171182</v>
      </c>
      <c r="CK18" s="405">
        <f>Feed!$G14*1000/12</f>
        <v>11805.984587171182</v>
      </c>
      <c r="CL18" s="405">
        <f>Feed!$G14*1000/12</f>
        <v>11805.984587171182</v>
      </c>
      <c r="CM18" s="405">
        <f>Feed!$G14*1000/12</f>
        <v>11805.984587171182</v>
      </c>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c r="EB18" s="58"/>
      <c r="EC18" s="58"/>
      <c r="ED18" s="58"/>
      <c r="EE18" s="58"/>
      <c r="EF18" s="58"/>
      <c r="EG18" s="58"/>
      <c r="EH18" s="58"/>
      <c r="EI18" s="58"/>
      <c r="EJ18" s="58"/>
      <c r="EK18" s="58"/>
      <c r="EL18" s="58"/>
      <c r="EM18" s="58"/>
      <c r="EN18" s="58"/>
      <c r="EO18" s="58"/>
      <c r="EP18" s="58"/>
      <c r="EQ18" s="58"/>
      <c r="ER18" s="58"/>
      <c r="ES18" s="58"/>
      <c r="ET18" s="58"/>
      <c r="EU18" s="58"/>
      <c r="EV18" s="58"/>
      <c r="EW18" s="58"/>
      <c r="EX18" s="58"/>
      <c r="EY18" s="58"/>
      <c r="EZ18" s="58"/>
      <c r="FA18" s="58"/>
      <c r="FB18" s="58"/>
      <c r="FC18" s="58"/>
      <c r="FD18" s="58"/>
      <c r="FE18" s="58"/>
      <c r="FF18" s="58"/>
      <c r="FG18" s="58"/>
      <c r="FH18" s="58"/>
      <c r="FI18" s="58"/>
      <c r="FJ18" s="58"/>
      <c r="FK18" s="58"/>
      <c r="FL18" s="58"/>
      <c r="FM18" s="58"/>
      <c r="FN18" s="58"/>
      <c r="FO18" s="58"/>
      <c r="FP18" s="58"/>
      <c r="FQ18" s="58"/>
      <c r="FR18" s="58"/>
      <c r="FS18" s="58"/>
      <c r="FT18" s="58"/>
      <c r="FU18" s="58"/>
      <c r="FV18" s="58"/>
    </row>
    <row r="19" spans="1:178">
      <c r="A19" s="1068"/>
      <c r="B19" s="2" t="s">
        <v>312</v>
      </c>
      <c r="C19" s="362" t="s">
        <v>313</v>
      </c>
      <c r="D19" s="362"/>
      <c r="E19" s="1071"/>
      <c r="F19" s="404" t="str">
        <f>F8</f>
        <v xml:space="preserve"> 1,3 Butadiene </v>
      </c>
      <c r="G19" s="405">
        <f>Feed!$G$15*1000/12</f>
        <v>10338.137731868725</v>
      </c>
      <c r="H19" s="405">
        <f>Feed!$G$15*1000/12</f>
        <v>10338.137731868725</v>
      </c>
      <c r="I19" s="405">
        <f>Feed!$G$15*1000/12</f>
        <v>10338.137731868725</v>
      </c>
      <c r="J19" s="405">
        <f>Feed!$G$15*1000/12</f>
        <v>10338.137731868725</v>
      </c>
      <c r="K19" s="405">
        <f>Feed!$G$15*1000/12</f>
        <v>10338.137731868725</v>
      </c>
      <c r="L19" s="405">
        <f>Feed!$G$15*1000/12</f>
        <v>10338.137731868725</v>
      </c>
      <c r="M19" s="405">
        <f>Feed!$G$15*1000/12</f>
        <v>10338.137731868725</v>
      </c>
      <c r="N19" s="405">
        <f>Feed!$G$15*1000/12</f>
        <v>10338.137731868725</v>
      </c>
      <c r="O19" s="405">
        <f>Feed!$G$15*1000/12</f>
        <v>10338.137731868725</v>
      </c>
      <c r="P19" s="405">
        <f>Feed!$G$15*1000/12</f>
        <v>10338.137731868725</v>
      </c>
      <c r="Q19" s="405">
        <f>Feed!$G$15*1000/12</f>
        <v>10338.137731868725</v>
      </c>
      <c r="R19" s="405">
        <f>Feed!$G$15*1000/12</f>
        <v>10338.137731868725</v>
      </c>
      <c r="S19" s="405">
        <f>Feed!$G$15*1000/12</f>
        <v>10338.137731868725</v>
      </c>
      <c r="T19" s="405">
        <f>Feed!$G$15*1000/12</f>
        <v>10338.137731868725</v>
      </c>
      <c r="U19" s="405">
        <f>Feed!$G$15*1000/12</f>
        <v>10338.137731868725</v>
      </c>
      <c r="V19" s="405">
        <f>Feed!$G$15*1000/12</f>
        <v>10338.137731868725</v>
      </c>
      <c r="W19" s="405">
        <f>Feed!$G$15*1000/12</f>
        <v>10338.137731868725</v>
      </c>
      <c r="X19" s="405">
        <f>Feed!$G$15*1000/12</f>
        <v>10338.137731868725</v>
      </c>
      <c r="Y19" s="405">
        <f>Feed!$G$15*1000/12</f>
        <v>10338.137731868725</v>
      </c>
      <c r="Z19" s="405">
        <f>Feed!$G$15*1000/12</f>
        <v>10338.137731868725</v>
      </c>
      <c r="AA19" s="405">
        <f>Feed!$G$15*1000/12</f>
        <v>10338.137731868725</v>
      </c>
      <c r="AB19" s="405">
        <f>Feed!$G$15*1000/12</f>
        <v>10338.137731868725</v>
      </c>
      <c r="AC19" s="405">
        <f>Feed!$G$15*1000/12</f>
        <v>10338.137731868725</v>
      </c>
      <c r="AD19" s="405">
        <f>Feed!$G$15*1000/12</f>
        <v>10338.137731868725</v>
      </c>
      <c r="AE19" s="405">
        <f>Feed!$G$15*1000/12</f>
        <v>10338.137731868725</v>
      </c>
      <c r="AF19" s="405">
        <f>Feed!$G$15*1000/12</f>
        <v>10338.137731868725</v>
      </c>
      <c r="AG19" s="405">
        <f>Feed!$G$15*1000/12</f>
        <v>10338.137731868725</v>
      </c>
      <c r="AH19" s="405">
        <f>Feed!$G$15*1000/12</f>
        <v>10338.137731868725</v>
      </c>
      <c r="AI19" s="405">
        <f>Feed!$G$15*1000/12</f>
        <v>10338.137731868725</v>
      </c>
      <c r="AJ19" s="405">
        <f>Feed!$G$15*1000/12</f>
        <v>10338.137731868725</v>
      </c>
      <c r="AK19" s="405">
        <f>Feed!$G$15*1000/12</f>
        <v>10338.137731868725</v>
      </c>
      <c r="AL19" s="405">
        <f>Feed!$G$15*1000/12</f>
        <v>10338.137731868725</v>
      </c>
      <c r="AM19" s="405">
        <f>Feed!$G$15*1000/12</f>
        <v>10338.137731868725</v>
      </c>
      <c r="AN19" s="405">
        <f>Feed!$G$15*1000/12</f>
        <v>10338.137731868725</v>
      </c>
      <c r="AO19" s="405">
        <f>Feed!$G$15*1000/12</f>
        <v>10338.137731868725</v>
      </c>
      <c r="AP19" s="405">
        <f>Feed!$G$15*1000/12</f>
        <v>10338.137731868725</v>
      </c>
      <c r="AQ19" s="405">
        <f>Feed!$G$15*1000/12</f>
        <v>10338.137731868725</v>
      </c>
      <c r="AR19" s="405">
        <f>Feed!$G$15*1000/12</f>
        <v>10338.137731868725</v>
      </c>
      <c r="AS19" s="405">
        <f>Feed!$G$15*1000/12</f>
        <v>10338.137731868725</v>
      </c>
      <c r="AT19" s="405">
        <f>Feed!$G$15*1000/12</f>
        <v>10338.137731868725</v>
      </c>
      <c r="AU19" s="405">
        <f>Feed!$G$15*1000/12</f>
        <v>10338.137731868725</v>
      </c>
      <c r="AV19" s="405">
        <f>Feed!$G$15*1000/12</f>
        <v>10338.137731868725</v>
      </c>
      <c r="AW19" s="405">
        <f>Feed!$G$15*1000/12</f>
        <v>10338.137731868725</v>
      </c>
      <c r="AX19" s="405">
        <f>Feed!$G$15*1000/12</f>
        <v>10338.137731868725</v>
      </c>
      <c r="AY19" s="405">
        <f>Feed!$G$15*1000/12</f>
        <v>10338.137731868725</v>
      </c>
      <c r="AZ19" s="405">
        <f>Feed!$G$15*1000/12</f>
        <v>10338.137731868725</v>
      </c>
      <c r="BA19" s="405">
        <f>Feed!$G$15*1000/12</f>
        <v>10338.137731868725</v>
      </c>
      <c r="BB19" s="405">
        <f>Feed!$G$15*1000/12</f>
        <v>10338.137731868725</v>
      </c>
      <c r="BC19" s="405">
        <f>Feed!$G$15*1000/12</f>
        <v>10338.137731868725</v>
      </c>
      <c r="BD19" s="405">
        <f>Feed!$G$15*1000/12</f>
        <v>10338.137731868725</v>
      </c>
      <c r="BE19" s="405">
        <f>Feed!$G$15*1000/12</f>
        <v>10338.137731868725</v>
      </c>
      <c r="BF19" s="405">
        <f>Feed!$G$15*1000/12</f>
        <v>10338.137731868725</v>
      </c>
      <c r="BG19" s="405">
        <f>Feed!$G$15*1000/12</f>
        <v>10338.137731868725</v>
      </c>
      <c r="BH19" s="405">
        <f>Feed!$G$15*1000/12</f>
        <v>10338.137731868725</v>
      </c>
      <c r="BI19" s="405">
        <f>Feed!$G$15*1000/12</f>
        <v>10338.137731868725</v>
      </c>
      <c r="BJ19" s="405">
        <f>Feed!$G$15*1000/12</f>
        <v>10338.137731868725</v>
      </c>
      <c r="BK19" s="405">
        <f>Feed!$G$15*1000/12</f>
        <v>10338.137731868725</v>
      </c>
      <c r="BL19" s="405">
        <f>Feed!$G$15*1000/12</f>
        <v>10338.137731868725</v>
      </c>
      <c r="BM19" s="405">
        <f>Feed!$G$15*1000/12</f>
        <v>10338.137731868725</v>
      </c>
      <c r="BN19" s="405">
        <f>Feed!$G$15*1000/12</f>
        <v>10338.137731868725</v>
      </c>
      <c r="BO19" s="405">
        <f>Feed!$G$15*1000/12</f>
        <v>10338.137731868725</v>
      </c>
      <c r="BP19" s="405">
        <f>Feed!$G$15*1000/12</f>
        <v>10338.137731868725</v>
      </c>
      <c r="BQ19" s="405">
        <f>Feed!$G$15*1000/12</f>
        <v>10338.137731868725</v>
      </c>
      <c r="BR19" s="405">
        <f>Feed!$G$15*1000/12</f>
        <v>10338.137731868725</v>
      </c>
      <c r="BS19" s="405">
        <f>Feed!$G$15*1000/12</f>
        <v>10338.137731868725</v>
      </c>
      <c r="BT19" s="405">
        <f>Feed!$G$15*1000/12</f>
        <v>10338.137731868725</v>
      </c>
      <c r="BU19" s="405">
        <f>Feed!$G$15*1000/12</f>
        <v>10338.137731868725</v>
      </c>
      <c r="BV19" s="405">
        <f>Feed!$G$15*1000/12</f>
        <v>10338.137731868725</v>
      </c>
      <c r="BW19" s="405">
        <f>Feed!$G$15*1000/12</f>
        <v>10338.137731868725</v>
      </c>
      <c r="BX19" s="405">
        <f>Feed!$G$15*1000/12</f>
        <v>10338.137731868725</v>
      </c>
      <c r="BY19" s="405">
        <f>Feed!$G$15*1000/12</f>
        <v>10338.137731868725</v>
      </c>
      <c r="BZ19" s="405">
        <f>Feed!$G$15*1000/12</f>
        <v>10338.137731868725</v>
      </c>
      <c r="CA19" s="405">
        <f>Feed!$G$15*1000/12</f>
        <v>10338.137731868725</v>
      </c>
      <c r="CB19" s="405">
        <f>Feed!$G$15*1000/12</f>
        <v>10338.137731868725</v>
      </c>
      <c r="CC19" s="405">
        <f>Feed!$G$15*1000/12</f>
        <v>10338.137731868725</v>
      </c>
      <c r="CD19" s="405">
        <f>Feed!$G$15*1000/12</f>
        <v>10338.137731868725</v>
      </c>
      <c r="CE19" s="405">
        <f>Feed!$G$15*1000/12</f>
        <v>10338.137731868725</v>
      </c>
      <c r="CF19" s="405">
        <f>Feed!$G$15*1000/12</f>
        <v>10338.137731868725</v>
      </c>
      <c r="CG19" s="405">
        <f>Feed!$G$15*1000/12</f>
        <v>10338.137731868725</v>
      </c>
      <c r="CH19" s="405">
        <f>Feed!$G$15*1000/12</f>
        <v>10338.137731868725</v>
      </c>
      <c r="CI19" s="405">
        <f>Feed!$G$15*1000/12</f>
        <v>10338.137731868725</v>
      </c>
      <c r="CJ19" s="405">
        <f>Feed!$G$15*1000/12</f>
        <v>10338.137731868725</v>
      </c>
      <c r="CK19" s="405">
        <f>Feed!$G$15*1000/12</f>
        <v>10338.137731868725</v>
      </c>
      <c r="CL19" s="405">
        <f>Feed!$G$15*1000/12</f>
        <v>10338.137731868725</v>
      </c>
      <c r="CM19" s="405">
        <f>Feed!$G$15*1000/12</f>
        <v>10338.137731868725</v>
      </c>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c r="EB19" s="58"/>
      <c r="EC19" s="58"/>
      <c r="ED19" s="58"/>
      <c r="EE19" s="58"/>
      <c r="EF19" s="58"/>
      <c r="EG19" s="58"/>
      <c r="EH19" s="58"/>
      <c r="EI19" s="58"/>
      <c r="EJ19" s="58"/>
      <c r="EK19" s="58"/>
      <c r="EL19" s="58"/>
      <c r="EM19" s="58"/>
      <c r="EN19" s="58"/>
      <c r="EO19" s="58"/>
      <c r="EP19" s="58"/>
      <c r="EQ19" s="58"/>
      <c r="ER19" s="58"/>
      <c r="ES19" s="58"/>
      <c r="ET19" s="58"/>
      <c r="EU19" s="58"/>
      <c r="EV19" s="58"/>
      <c r="EW19" s="58"/>
      <c r="EX19" s="58"/>
      <c r="EY19" s="58"/>
      <c r="EZ19" s="58"/>
      <c r="FA19" s="58"/>
      <c r="FB19" s="58"/>
      <c r="FC19" s="58"/>
      <c r="FD19" s="58"/>
      <c r="FE19" s="58"/>
      <c r="FF19" s="58"/>
      <c r="FG19" s="58"/>
      <c r="FH19" s="58"/>
      <c r="FI19" s="58"/>
      <c r="FJ19" s="58"/>
      <c r="FK19" s="58"/>
      <c r="FL19" s="58"/>
      <c r="FM19" s="58"/>
      <c r="FN19" s="58"/>
      <c r="FO19" s="58"/>
      <c r="FP19" s="58"/>
      <c r="FQ19" s="58"/>
      <c r="FR19" s="58"/>
      <c r="FS19" s="58"/>
      <c r="FT19" s="58"/>
      <c r="FU19" s="58"/>
      <c r="FV19" s="58"/>
    </row>
    <row r="20" spans="1:178">
      <c r="A20" s="1068"/>
      <c r="B20" s="2" t="s">
        <v>312</v>
      </c>
      <c r="C20" s="362" t="s">
        <v>313</v>
      </c>
      <c r="D20" s="362"/>
      <c r="E20" s="1071"/>
      <c r="F20" s="404" t="str">
        <f>F9</f>
        <v xml:space="preserve"> Hydrogenated Pygas (HPG) </v>
      </c>
      <c r="G20" s="405">
        <f>G12*'Cracker Yields'!$B$9+'Financial Model High Propane'!G13*'Cracker Yields'!$C$9+'Financial Model High Propane'!G14*'Cracker Yields'!$D$9+'Financial Model High Propane'!G15*'Cracker Yields'!$E$9</f>
        <v>13282.571249999999</v>
      </c>
      <c r="H20" s="405">
        <f>H12*'Cracker Yields'!$B$9+'Financial Model High Propane'!H13*'Cracker Yields'!$C$9+'Financial Model High Propane'!H14*'Cracker Yields'!$D$9+'Financial Model High Propane'!H15*'Cracker Yields'!$E$9</f>
        <v>13282.571249999999</v>
      </c>
      <c r="I20" s="405">
        <f>I12*'Cracker Yields'!$B$9+'Financial Model High Propane'!I13*'Cracker Yields'!$C$9+'Financial Model High Propane'!I14*'Cracker Yields'!$D$9+'Financial Model High Propane'!I15*'Cracker Yields'!$E$9</f>
        <v>13282.571249999999</v>
      </c>
      <c r="J20" s="405">
        <f>J12*'Cracker Yields'!$B$9+'Financial Model High Propane'!J13*'Cracker Yields'!$C$9+'Financial Model High Propane'!J14*'Cracker Yields'!$D$9+'Financial Model High Propane'!J15*'Cracker Yields'!$E$9</f>
        <v>13282.571249999999</v>
      </c>
      <c r="K20" s="405">
        <f>K12*'Cracker Yields'!$B$9+'Financial Model High Propane'!K13*'Cracker Yields'!$C$9+'Financial Model High Propane'!K14*'Cracker Yields'!$D$9+'Financial Model High Propane'!K15*'Cracker Yields'!$E$9</f>
        <v>13282.571249999999</v>
      </c>
      <c r="L20" s="405">
        <f>L12*'Cracker Yields'!$B$9+'Financial Model High Propane'!L13*'Cracker Yields'!$C$9+'Financial Model High Propane'!L14*'Cracker Yields'!$D$9+'Financial Model High Propane'!L15*'Cracker Yields'!$E$9</f>
        <v>13282.571249999999</v>
      </c>
      <c r="M20" s="405">
        <f>M12*'Cracker Yields'!$B$9+'Financial Model High Propane'!M13*'Cracker Yields'!$C$9+'Financial Model High Propane'!M14*'Cracker Yields'!$D$9+'Financial Model High Propane'!M15*'Cracker Yields'!$E$9</f>
        <v>13282.571249999999</v>
      </c>
      <c r="N20" s="405">
        <f>N12*'Cracker Yields'!$B$9+'Financial Model High Propane'!N13*'Cracker Yields'!$C$9+'Financial Model High Propane'!N14*'Cracker Yields'!$D$9+'Financial Model High Propane'!N15*'Cracker Yields'!$E$9</f>
        <v>13282.571249999999</v>
      </c>
      <c r="O20" s="405">
        <f>O12*'Cracker Yields'!$B$9+'Financial Model High Propane'!O13*'Cracker Yields'!$C$9+'Financial Model High Propane'!O14*'Cracker Yields'!$D$9+'Financial Model High Propane'!O15*'Cracker Yields'!$E$9</f>
        <v>13282.571249999999</v>
      </c>
      <c r="P20" s="405">
        <f>P12*'Cracker Yields'!$B$9+'Financial Model High Propane'!P13*'Cracker Yields'!$C$9+'Financial Model High Propane'!P14*'Cracker Yields'!$D$9+'Financial Model High Propane'!P15*'Cracker Yields'!$E$9</f>
        <v>13282.571249999999</v>
      </c>
      <c r="Q20" s="405">
        <f>Q12*'Cracker Yields'!$B$9+'Financial Model High Propane'!Q13*'Cracker Yields'!$C$9+'Financial Model High Propane'!Q14*'Cracker Yields'!$D$9+'Financial Model High Propane'!Q15*'Cracker Yields'!$E$9</f>
        <v>13282.571249999999</v>
      </c>
      <c r="R20" s="405">
        <f>R12*'Cracker Yields'!$B$9+'Financial Model High Propane'!R13*'Cracker Yields'!$C$9+'Financial Model High Propane'!R14*'Cracker Yields'!$D$9+'Financial Model High Propane'!R15*'Cracker Yields'!$E$9</f>
        <v>13282.571249999999</v>
      </c>
      <c r="S20" s="405">
        <f>S12*'Cracker Yields'!$B$9+'Financial Model High Propane'!S13*'Cracker Yields'!$C$9+'Financial Model High Propane'!S14*'Cracker Yields'!$D$9+'Financial Model High Propane'!S15*'Cracker Yields'!$E$9</f>
        <v>13282.571249999999</v>
      </c>
      <c r="T20" s="405">
        <f>T12*'Cracker Yields'!$B$9+'Financial Model High Propane'!T13*'Cracker Yields'!$C$9+'Financial Model High Propane'!T14*'Cracker Yields'!$D$9+'Financial Model High Propane'!T15*'Cracker Yields'!$E$9</f>
        <v>13282.571249999999</v>
      </c>
      <c r="U20" s="405">
        <f>U12*'Cracker Yields'!$B$9+'Financial Model High Propane'!U13*'Cracker Yields'!$C$9+'Financial Model High Propane'!U14*'Cracker Yields'!$D$9+'Financial Model High Propane'!U15*'Cracker Yields'!$E$9</f>
        <v>13282.571249999999</v>
      </c>
      <c r="V20" s="405">
        <f>V12*'Cracker Yields'!$B$9+'Financial Model High Propane'!V13*'Cracker Yields'!$C$9+'Financial Model High Propane'!V14*'Cracker Yields'!$D$9+'Financial Model High Propane'!V15*'Cracker Yields'!$E$9</f>
        <v>13282.571249999999</v>
      </c>
      <c r="W20" s="405">
        <f>W12*'Cracker Yields'!$B$9+'Financial Model High Propane'!W13*'Cracker Yields'!$C$9+'Financial Model High Propane'!W14*'Cracker Yields'!$D$9+'Financial Model High Propane'!W15*'Cracker Yields'!$E$9</f>
        <v>13282.571249999999</v>
      </c>
      <c r="X20" s="405">
        <f>X12*'Cracker Yields'!$B$9+'Financial Model High Propane'!X13*'Cracker Yields'!$C$9+'Financial Model High Propane'!X14*'Cracker Yields'!$D$9+'Financial Model High Propane'!X15*'Cracker Yields'!$E$9</f>
        <v>13282.571249999999</v>
      </c>
      <c r="Y20" s="405">
        <f>Y12*'Cracker Yields'!$B$9+'Financial Model High Propane'!Y13*'Cracker Yields'!$C$9+'Financial Model High Propane'!Y14*'Cracker Yields'!$D$9+'Financial Model High Propane'!Y15*'Cracker Yields'!$E$9</f>
        <v>13282.571249999999</v>
      </c>
      <c r="Z20" s="405">
        <f>Z12*'Cracker Yields'!$B$9+'Financial Model High Propane'!Z13*'Cracker Yields'!$C$9+'Financial Model High Propane'!Z14*'Cracker Yields'!$D$9+'Financial Model High Propane'!Z15*'Cracker Yields'!$E$9</f>
        <v>13282.571249999999</v>
      </c>
      <c r="AA20" s="405">
        <f>AA12*'Cracker Yields'!$B$9+'Financial Model High Propane'!AA13*'Cracker Yields'!$C$9+'Financial Model High Propane'!AA14*'Cracker Yields'!$D$9+'Financial Model High Propane'!AA15*'Cracker Yields'!$E$9</f>
        <v>13282.571249999999</v>
      </c>
      <c r="AB20" s="405">
        <f>AB12*'Cracker Yields'!$B$9+'Financial Model High Propane'!AB13*'Cracker Yields'!$C$9+'Financial Model High Propane'!AB14*'Cracker Yields'!$D$9+'Financial Model High Propane'!AB15*'Cracker Yields'!$E$9</f>
        <v>13282.571249999999</v>
      </c>
      <c r="AC20" s="405">
        <f>AC12*'Cracker Yields'!$B$9+'Financial Model High Propane'!AC13*'Cracker Yields'!$C$9+'Financial Model High Propane'!AC14*'Cracker Yields'!$D$9+'Financial Model High Propane'!AC15*'Cracker Yields'!$E$9</f>
        <v>13282.571249999999</v>
      </c>
      <c r="AD20" s="405">
        <f>AD12*'Cracker Yields'!$B$9+'Financial Model High Propane'!AD13*'Cracker Yields'!$C$9+'Financial Model High Propane'!AD14*'Cracker Yields'!$D$9+'Financial Model High Propane'!AD15*'Cracker Yields'!$E$9</f>
        <v>13282.571249999999</v>
      </c>
      <c r="AE20" s="405">
        <f>AE12*'Cracker Yields'!$B$9+'Financial Model High Propane'!AE13*'Cracker Yields'!$C$9+'Financial Model High Propane'!AE14*'Cracker Yields'!$D$9+'Financial Model High Propane'!AE15*'Cracker Yields'!$E$9</f>
        <v>13282.571249999999</v>
      </c>
      <c r="AF20" s="405">
        <f>AF12*'Cracker Yields'!$B$9+'Financial Model High Propane'!AF13*'Cracker Yields'!$C$9+'Financial Model High Propane'!AF14*'Cracker Yields'!$D$9+'Financial Model High Propane'!AF15*'Cracker Yields'!$E$9</f>
        <v>13282.571249999999</v>
      </c>
      <c r="AG20" s="405">
        <f>AG12*'Cracker Yields'!$B$9+'Financial Model High Propane'!AG13*'Cracker Yields'!$C$9+'Financial Model High Propane'!AG14*'Cracker Yields'!$D$9+'Financial Model High Propane'!AG15*'Cracker Yields'!$E$9</f>
        <v>13282.571249999999</v>
      </c>
      <c r="AH20" s="405">
        <f>AH12*'Cracker Yields'!$B$9+'Financial Model High Propane'!AH13*'Cracker Yields'!$C$9+'Financial Model High Propane'!AH14*'Cracker Yields'!$D$9+'Financial Model High Propane'!AH15*'Cracker Yields'!$E$9</f>
        <v>13282.571249999999</v>
      </c>
      <c r="AI20" s="405">
        <f>AI12*'Cracker Yields'!$B$9+'Financial Model High Propane'!AI13*'Cracker Yields'!$C$9+'Financial Model High Propane'!AI14*'Cracker Yields'!$D$9+'Financial Model High Propane'!AI15*'Cracker Yields'!$E$9</f>
        <v>13282.571249999999</v>
      </c>
      <c r="AJ20" s="405">
        <f>AJ12*'Cracker Yields'!$B$9+'Financial Model High Propane'!AJ13*'Cracker Yields'!$C$9+'Financial Model High Propane'!AJ14*'Cracker Yields'!$D$9+'Financial Model High Propane'!AJ15*'Cracker Yields'!$E$9</f>
        <v>13282.571249999999</v>
      </c>
      <c r="AK20" s="405">
        <f>AK12*'Cracker Yields'!$B$9+'Financial Model High Propane'!AK13*'Cracker Yields'!$C$9+'Financial Model High Propane'!AK14*'Cracker Yields'!$D$9+'Financial Model High Propane'!AK15*'Cracker Yields'!$E$9</f>
        <v>13282.571249999999</v>
      </c>
      <c r="AL20" s="405">
        <f>AL12*'Cracker Yields'!$B$9+'Financial Model High Propane'!AL13*'Cracker Yields'!$C$9+'Financial Model High Propane'!AL14*'Cracker Yields'!$D$9+'Financial Model High Propane'!AL15*'Cracker Yields'!$E$9</f>
        <v>13282.571249999999</v>
      </c>
      <c r="AM20" s="405">
        <f>AM12*'Cracker Yields'!$B$9+'Financial Model High Propane'!AM13*'Cracker Yields'!$C$9+'Financial Model High Propane'!AM14*'Cracker Yields'!$D$9+'Financial Model High Propane'!AM15*'Cracker Yields'!$E$9</f>
        <v>13282.571249999999</v>
      </c>
      <c r="AN20" s="405">
        <f>AN12*'Cracker Yields'!$B$9+'Financial Model High Propane'!AN13*'Cracker Yields'!$C$9+'Financial Model High Propane'!AN14*'Cracker Yields'!$D$9+'Financial Model High Propane'!AN15*'Cracker Yields'!$E$9</f>
        <v>13282.571249999999</v>
      </c>
      <c r="AO20" s="405">
        <f>AO12*'Cracker Yields'!$B$9+'Financial Model High Propane'!AO13*'Cracker Yields'!$C$9+'Financial Model High Propane'!AO14*'Cracker Yields'!$D$9+'Financial Model High Propane'!AO15*'Cracker Yields'!$E$9</f>
        <v>13282.571249999999</v>
      </c>
      <c r="AP20" s="405">
        <f>AP12*'Cracker Yields'!$B$9+'Financial Model High Propane'!AP13*'Cracker Yields'!$C$9+'Financial Model High Propane'!AP14*'Cracker Yields'!$D$9+'Financial Model High Propane'!AP15*'Cracker Yields'!$E$9</f>
        <v>13282.571249999999</v>
      </c>
      <c r="AQ20" s="405">
        <f>AQ12*'Cracker Yields'!$B$9+'Financial Model High Propane'!AQ13*'Cracker Yields'!$C$9+'Financial Model High Propane'!AQ14*'Cracker Yields'!$D$9+'Financial Model High Propane'!AQ15*'Cracker Yields'!$E$9</f>
        <v>13282.571249999999</v>
      </c>
      <c r="AR20" s="405">
        <f>AR12*'Cracker Yields'!$B$9+'Financial Model High Propane'!AR13*'Cracker Yields'!$C$9+'Financial Model High Propane'!AR14*'Cracker Yields'!$D$9+'Financial Model High Propane'!AR15*'Cracker Yields'!$E$9</f>
        <v>13282.571249999999</v>
      </c>
      <c r="AS20" s="405">
        <f>AS12*'Cracker Yields'!$B$9+'Financial Model High Propane'!AS13*'Cracker Yields'!$C$9+'Financial Model High Propane'!AS14*'Cracker Yields'!$D$9+'Financial Model High Propane'!AS15*'Cracker Yields'!$E$9</f>
        <v>13282.571249999999</v>
      </c>
      <c r="AT20" s="405">
        <f>AT12*'Cracker Yields'!$B$9+'Financial Model High Propane'!AT13*'Cracker Yields'!$C$9+'Financial Model High Propane'!AT14*'Cracker Yields'!$D$9+'Financial Model High Propane'!AT15*'Cracker Yields'!$E$9</f>
        <v>13282.571249999999</v>
      </c>
      <c r="AU20" s="405">
        <f>AU12*'Cracker Yields'!$B$9+'Financial Model High Propane'!AU13*'Cracker Yields'!$C$9+'Financial Model High Propane'!AU14*'Cracker Yields'!$D$9+'Financial Model High Propane'!AU15*'Cracker Yields'!$E$9</f>
        <v>13282.571249999999</v>
      </c>
      <c r="AV20" s="405">
        <f>AV12*'Cracker Yields'!$B$9+'Financial Model High Propane'!AV13*'Cracker Yields'!$C$9+'Financial Model High Propane'!AV14*'Cracker Yields'!$D$9+'Financial Model High Propane'!AV15*'Cracker Yields'!$E$9</f>
        <v>13282.571249999999</v>
      </c>
      <c r="AW20" s="405">
        <f>AW12*'Cracker Yields'!$B$9+'Financial Model High Propane'!AW13*'Cracker Yields'!$C$9+'Financial Model High Propane'!AW14*'Cracker Yields'!$D$9+'Financial Model High Propane'!AW15*'Cracker Yields'!$E$9</f>
        <v>13282.571249999999</v>
      </c>
      <c r="AX20" s="405">
        <f>AX12*'Cracker Yields'!$B$9+'Financial Model High Propane'!AX13*'Cracker Yields'!$C$9+'Financial Model High Propane'!AX14*'Cracker Yields'!$D$9+'Financial Model High Propane'!AX15*'Cracker Yields'!$E$9</f>
        <v>13282.571249999999</v>
      </c>
      <c r="AY20" s="405">
        <f>AY12*'Cracker Yields'!$B$9+'Financial Model High Propane'!AY13*'Cracker Yields'!$C$9+'Financial Model High Propane'!AY14*'Cracker Yields'!$D$9+'Financial Model High Propane'!AY15*'Cracker Yields'!$E$9</f>
        <v>13282.571249999999</v>
      </c>
      <c r="AZ20" s="405">
        <f>AZ12*'Cracker Yields'!$B$9+'Financial Model High Propane'!AZ13*'Cracker Yields'!$C$9+'Financial Model High Propane'!AZ14*'Cracker Yields'!$D$9+'Financial Model High Propane'!AZ15*'Cracker Yields'!$E$9</f>
        <v>13282.571249999999</v>
      </c>
      <c r="BA20" s="405">
        <f>BA12*'Cracker Yields'!$B$9+'Financial Model High Propane'!BA13*'Cracker Yields'!$C$9+'Financial Model High Propane'!BA14*'Cracker Yields'!$D$9+'Financial Model High Propane'!BA15*'Cracker Yields'!$E$9</f>
        <v>13282.571249999999</v>
      </c>
      <c r="BB20" s="405">
        <f>BB12*'Cracker Yields'!$B$9+'Financial Model High Propane'!BB13*'Cracker Yields'!$C$9+'Financial Model High Propane'!BB14*'Cracker Yields'!$D$9+'Financial Model High Propane'!BB15*'Cracker Yields'!$E$9</f>
        <v>13282.571249999999</v>
      </c>
      <c r="BC20" s="405">
        <f>BC12*'Cracker Yields'!$B$9+'Financial Model High Propane'!BC13*'Cracker Yields'!$C$9+'Financial Model High Propane'!BC14*'Cracker Yields'!$D$9+'Financial Model High Propane'!BC15*'Cracker Yields'!$E$9</f>
        <v>13282.571249999999</v>
      </c>
      <c r="BD20" s="405">
        <f>BD12*'Cracker Yields'!$B$9+'Financial Model High Propane'!BD13*'Cracker Yields'!$C$9+'Financial Model High Propane'!BD14*'Cracker Yields'!$D$9+'Financial Model High Propane'!BD15*'Cracker Yields'!$E$9</f>
        <v>13282.571249999999</v>
      </c>
      <c r="BE20" s="405">
        <f>BE12*'Cracker Yields'!$B$9+'Financial Model High Propane'!BE13*'Cracker Yields'!$C$9+'Financial Model High Propane'!BE14*'Cracker Yields'!$D$9+'Financial Model High Propane'!BE15*'Cracker Yields'!$E$9</f>
        <v>13282.571249999999</v>
      </c>
      <c r="BF20" s="405">
        <f>BF12*'Cracker Yields'!$B$9+'Financial Model High Propane'!BF13*'Cracker Yields'!$C$9+'Financial Model High Propane'!BF14*'Cracker Yields'!$D$9+'Financial Model High Propane'!BF15*'Cracker Yields'!$E$9</f>
        <v>13282.571249999999</v>
      </c>
      <c r="BG20" s="405">
        <f>BG12*'Cracker Yields'!$B$9+'Financial Model High Propane'!BG13*'Cracker Yields'!$C$9+'Financial Model High Propane'!BG14*'Cracker Yields'!$D$9+'Financial Model High Propane'!BG15*'Cracker Yields'!$E$9</f>
        <v>13282.571249999999</v>
      </c>
      <c r="BH20" s="405">
        <f>BH12*'Cracker Yields'!$B$9+'Financial Model High Propane'!BH13*'Cracker Yields'!$C$9+'Financial Model High Propane'!BH14*'Cracker Yields'!$D$9+'Financial Model High Propane'!BH15*'Cracker Yields'!$E$9</f>
        <v>13282.571249999999</v>
      </c>
      <c r="BI20" s="405">
        <f>BI12*'Cracker Yields'!$B$9+'Financial Model High Propane'!BI13*'Cracker Yields'!$C$9+'Financial Model High Propane'!BI14*'Cracker Yields'!$D$9+'Financial Model High Propane'!BI15*'Cracker Yields'!$E$9</f>
        <v>13282.571249999999</v>
      </c>
      <c r="BJ20" s="405">
        <f>BJ12*'Cracker Yields'!$B$9+'Financial Model High Propane'!BJ13*'Cracker Yields'!$C$9+'Financial Model High Propane'!BJ14*'Cracker Yields'!$D$9+'Financial Model High Propane'!BJ15*'Cracker Yields'!$E$9</f>
        <v>13282.571249999999</v>
      </c>
      <c r="BK20" s="405">
        <f>BK12*'Cracker Yields'!$B$9+'Financial Model High Propane'!BK13*'Cracker Yields'!$C$9+'Financial Model High Propane'!BK14*'Cracker Yields'!$D$9+'Financial Model High Propane'!BK15*'Cracker Yields'!$E$9</f>
        <v>13282.571249999999</v>
      </c>
      <c r="BL20" s="405">
        <f>BL12*'Cracker Yields'!$B$9+'Financial Model High Propane'!BL13*'Cracker Yields'!$C$9+'Financial Model High Propane'!BL14*'Cracker Yields'!$D$9+'Financial Model High Propane'!BL15*'Cracker Yields'!$E$9</f>
        <v>13282.571249999999</v>
      </c>
      <c r="BM20" s="405">
        <f>BM12*'Cracker Yields'!$B$9+'Financial Model High Propane'!BM13*'Cracker Yields'!$C$9+'Financial Model High Propane'!BM14*'Cracker Yields'!$D$9+'Financial Model High Propane'!BM15*'Cracker Yields'!$E$9</f>
        <v>13282.571249999999</v>
      </c>
      <c r="BN20" s="405">
        <f>BN12*'Cracker Yields'!$B$9+'Financial Model High Propane'!BN13*'Cracker Yields'!$C$9+'Financial Model High Propane'!BN14*'Cracker Yields'!$D$9+'Financial Model High Propane'!BN15*'Cracker Yields'!$E$9</f>
        <v>13282.571249999999</v>
      </c>
      <c r="BO20" s="405">
        <f>BO12*'Cracker Yields'!$B$9+'Financial Model High Propane'!BO13*'Cracker Yields'!$C$9+'Financial Model High Propane'!BO14*'Cracker Yields'!$D$9+'Financial Model High Propane'!BO15*'Cracker Yields'!$E$9</f>
        <v>13282.571249999999</v>
      </c>
      <c r="BP20" s="405">
        <f>BP12*'Cracker Yields'!$B$9+'Financial Model High Propane'!BP13*'Cracker Yields'!$C$9+'Financial Model High Propane'!BP14*'Cracker Yields'!$D$9+'Financial Model High Propane'!BP15*'Cracker Yields'!$E$9</f>
        <v>13282.571249999999</v>
      </c>
      <c r="BQ20" s="405">
        <f>BQ12*'Cracker Yields'!$B$9+'Financial Model High Propane'!BQ13*'Cracker Yields'!$C$9+'Financial Model High Propane'!BQ14*'Cracker Yields'!$D$9+'Financial Model High Propane'!BQ15*'Cracker Yields'!$E$9</f>
        <v>13282.571249999999</v>
      </c>
      <c r="BR20" s="405">
        <f>BR12*'Cracker Yields'!$B$9+'Financial Model High Propane'!BR13*'Cracker Yields'!$C$9+'Financial Model High Propane'!BR14*'Cracker Yields'!$D$9+'Financial Model High Propane'!BR15*'Cracker Yields'!$E$9</f>
        <v>13282.571249999999</v>
      </c>
      <c r="BS20" s="405">
        <f>BS12*'Cracker Yields'!$B$9+'Financial Model High Propane'!BS13*'Cracker Yields'!$C$9+'Financial Model High Propane'!BS14*'Cracker Yields'!$D$9+'Financial Model High Propane'!BS15*'Cracker Yields'!$E$9</f>
        <v>13282.571249999999</v>
      </c>
      <c r="BT20" s="405">
        <f>BT12*'Cracker Yields'!$B$9+'Financial Model High Propane'!BT13*'Cracker Yields'!$C$9+'Financial Model High Propane'!BT14*'Cracker Yields'!$D$9+'Financial Model High Propane'!BT15*'Cracker Yields'!$E$9</f>
        <v>13282.571249999999</v>
      </c>
      <c r="BU20" s="405">
        <f>BU12*'Cracker Yields'!$B$9+'Financial Model High Propane'!BU13*'Cracker Yields'!$C$9+'Financial Model High Propane'!BU14*'Cracker Yields'!$D$9+'Financial Model High Propane'!BU15*'Cracker Yields'!$E$9</f>
        <v>13282.571249999999</v>
      </c>
      <c r="BV20" s="405">
        <f>BV12*'Cracker Yields'!$B$9+'Financial Model High Propane'!BV13*'Cracker Yields'!$C$9+'Financial Model High Propane'!BV14*'Cracker Yields'!$D$9+'Financial Model High Propane'!BV15*'Cracker Yields'!$E$9</f>
        <v>13282.571249999999</v>
      </c>
      <c r="BW20" s="405">
        <f>BW12*'Cracker Yields'!$B$9+'Financial Model High Propane'!BW13*'Cracker Yields'!$C$9+'Financial Model High Propane'!BW14*'Cracker Yields'!$D$9+'Financial Model High Propane'!BW15*'Cracker Yields'!$E$9</f>
        <v>13282.571249999999</v>
      </c>
      <c r="BX20" s="405">
        <f>BX12*'Cracker Yields'!$B$9+'Financial Model High Propane'!BX13*'Cracker Yields'!$C$9+'Financial Model High Propane'!BX14*'Cracker Yields'!$D$9+'Financial Model High Propane'!BX15*'Cracker Yields'!$E$9</f>
        <v>13282.571249999999</v>
      </c>
      <c r="BY20" s="405">
        <f>BY12*'Cracker Yields'!$B$9+'Financial Model High Propane'!BY13*'Cracker Yields'!$C$9+'Financial Model High Propane'!BY14*'Cracker Yields'!$D$9+'Financial Model High Propane'!BY15*'Cracker Yields'!$E$9</f>
        <v>13282.571249999999</v>
      </c>
      <c r="BZ20" s="405">
        <f>BZ12*'Cracker Yields'!$B$9+'Financial Model High Propane'!BZ13*'Cracker Yields'!$C$9+'Financial Model High Propane'!BZ14*'Cracker Yields'!$D$9+'Financial Model High Propane'!BZ15*'Cracker Yields'!$E$9</f>
        <v>13282.571249999999</v>
      </c>
      <c r="CA20" s="405">
        <f>CA12*'Cracker Yields'!$B$9+'Financial Model High Propane'!CA13*'Cracker Yields'!$C$9+'Financial Model High Propane'!CA14*'Cracker Yields'!$D$9+'Financial Model High Propane'!CA15*'Cracker Yields'!$E$9</f>
        <v>13282.571249999999</v>
      </c>
      <c r="CB20" s="405">
        <f>CB12*'Cracker Yields'!$B$9+'Financial Model High Propane'!CB13*'Cracker Yields'!$C$9+'Financial Model High Propane'!CB14*'Cracker Yields'!$D$9+'Financial Model High Propane'!CB15*'Cracker Yields'!$E$9</f>
        <v>13282.571249999999</v>
      </c>
      <c r="CC20" s="405">
        <f>CC12*'Cracker Yields'!$B$9+'Financial Model High Propane'!CC13*'Cracker Yields'!$C$9+'Financial Model High Propane'!CC14*'Cracker Yields'!$D$9+'Financial Model High Propane'!CC15*'Cracker Yields'!$E$9</f>
        <v>13282.571249999999</v>
      </c>
      <c r="CD20" s="405">
        <f>CD12*'Cracker Yields'!$B$9+'Financial Model High Propane'!CD13*'Cracker Yields'!$C$9+'Financial Model High Propane'!CD14*'Cracker Yields'!$D$9+'Financial Model High Propane'!CD15*'Cracker Yields'!$E$9</f>
        <v>13282.571249999999</v>
      </c>
      <c r="CE20" s="405">
        <f>CE12*'Cracker Yields'!$B$9+'Financial Model High Propane'!CE13*'Cracker Yields'!$C$9+'Financial Model High Propane'!CE14*'Cracker Yields'!$D$9+'Financial Model High Propane'!CE15*'Cracker Yields'!$E$9</f>
        <v>13282.571249999999</v>
      </c>
      <c r="CF20" s="405">
        <f>CF12*'Cracker Yields'!$B$9+'Financial Model High Propane'!CF13*'Cracker Yields'!$C$9+'Financial Model High Propane'!CF14*'Cracker Yields'!$D$9+'Financial Model High Propane'!CF15*'Cracker Yields'!$E$9</f>
        <v>13282.571249999999</v>
      </c>
      <c r="CG20" s="405">
        <f>CG12*'Cracker Yields'!$B$9+'Financial Model High Propane'!CG13*'Cracker Yields'!$C$9+'Financial Model High Propane'!CG14*'Cracker Yields'!$D$9+'Financial Model High Propane'!CG15*'Cracker Yields'!$E$9</f>
        <v>13282.571249999999</v>
      </c>
      <c r="CH20" s="405">
        <f>CH12*'Cracker Yields'!$B$9+'Financial Model High Propane'!CH13*'Cracker Yields'!$C$9+'Financial Model High Propane'!CH14*'Cracker Yields'!$D$9+'Financial Model High Propane'!CH15*'Cracker Yields'!$E$9</f>
        <v>13282.571249999999</v>
      </c>
      <c r="CI20" s="405">
        <f>CI12*'Cracker Yields'!$B$9+'Financial Model High Propane'!CI13*'Cracker Yields'!$C$9+'Financial Model High Propane'!CI14*'Cracker Yields'!$D$9+'Financial Model High Propane'!CI15*'Cracker Yields'!$E$9</f>
        <v>13282.571249999999</v>
      </c>
      <c r="CJ20" s="405">
        <f>CJ12*'Cracker Yields'!$B$9+'Financial Model High Propane'!CJ13*'Cracker Yields'!$C$9+'Financial Model High Propane'!CJ14*'Cracker Yields'!$D$9+'Financial Model High Propane'!CJ15*'Cracker Yields'!$E$9</f>
        <v>13282.571249999999</v>
      </c>
      <c r="CK20" s="405">
        <f>CK12*'Cracker Yields'!$B$9+'Financial Model High Propane'!CK13*'Cracker Yields'!$C$9+'Financial Model High Propane'!CK14*'Cracker Yields'!$D$9+'Financial Model High Propane'!CK15*'Cracker Yields'!$E$9</f>
        <v>13282.571249999999</v>
      </c>
      <c r="CL20" s="405">
        <f>CL12*'Cracker Yields'!$B$9+'Financial Model High Propane'!CL13*'Cracker Yields'!$C$9+'Financial Model High Propane'!CL14*'Cracker Yields'!$D$9+'Financial Model High Propane'!CL15*'Cracker Yields'!$E$9</f>
        <v>13282.571249999999</v>
      </c>
      <c r="CM20" s="41">
        <f t="shared" si="1"/>
        <v>13282.571250000015</v>
      </c>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8"/>
      <c r="DY20" s="58"/>
      <c r="DZ20" s="58"/>
      <c r="EA20" s="58"/>
      <c r="EB20" s="58"/>
      <c r="EC20" s="58"/>
      <c r="ED20" s="58"/>
      <c r="EE20" s="58"/>
      <c r="EF20" s="58"/>
      <c r="EG20" s="58"/>
      <c r="EH20" s="58"/>
      <c r="EI20" s="58"/>
      <c r="EJ20" s="58"/>
      <c r="EK20" s="58"/>
      <c r="EL20" s="58"/>
      <c r="EM20" s="58"/>
      <c r="EN20" s="58"/>
      <c r="EO20" s="58"/>
      <c r="EP20" s="58"/>
      <c r="EQ20" s="58"/>
      <c r="ER20" s="58"/>
      <c r="ES20" s="58"/>
      <c r="ET20" s="58"/>
      <c r="EU20" s="58"/>
      <c r="EV20" s="58"/>
      <c r="EW20" s="58"/>
      <c r="EX20" s="58"/>
      <c r="EY20" s="58"/>
      <c r="EZ20" s="58"/>
      <c r="FA20" s="58"/>
      <c r="FB20" s="58"/>
      <c r="FC20" s="58"/>
      <c r="FD20" s="58"/>
      <c r="FE20" s="58"/>
      <c r="FF20" s="58"/>
      <c r="FG20" s="58"/>
      <c r="FH20" s="58"/>
      <c r="FI20" s="58"/>
      <c r="FJ20" s="58"/>
      <c r="FK20" s="58"/>
      <c r="FL20" s="58"/>
      <c r="FM20" s="58"/>
      <c r="FN20" s="58"/>
      <c r="FO20" s="58"/>
      <c r="FP20" s="58"/>
      <c r="FQ20" s="58"/>
      <c r="FR20" s="58"/>
      <c r="FS20" s="58"/>
      <c r="FT20" s="58"/>
      <c r="FU20" s="58"/>
      <c r="FV20" s="58"/>
    </row>
    <row r="21" spans="1:178">
      <c r="A21" s="1068"/>
      <c r="B21" s="2" t="s">
        <v>312</v>
      </c>
      <c r="C21" s="362" t="s">
        <v>313</v>
      </c>
      <c r="D21" s="362"/>
      <c r="E21" s="1071"/>
      <c r="F21" s="404" t="str">
        <f>F10</f>
        <v xml:space="preserve"> CBFS </v>
      </c>
      <c r="G21" s="405">
        <f>G12*'Cracker Yields'!$B$6+'Financial Model High Propane'!G13*'Cracker Yields'!$C$6+'Financial Model High Propane'!G14*'Cracker Yields'!$D$6+'Financial Model High Propane'!G15*'Cracker Yields'!$E$6</f>
        <v>5612.5166666666664</v>
      </c>
      <c r="H21" s="405">
        <f>H12*'Cracker Yields'!$B$6+'Financial Model High Propane'!H13*'Cracker Yields'!$C$6+'Financial Model High Propane'!H14*'Cracker Yields'!$D$6+'Financial Model High Propane'!H15*'Cracker Yields'!$E$6</f>
        <v>5612.5166666666664</v>
      </c>
      <c r="I21" s="405">
        <f>I12*'Cracker Yields'!$B$6+'Financial Model High Propane'!I13*'Cracker Yields'!$C$6+'Financial Model High Propane'!I14*'Cracker Yields'!$D$6+'Financial Model High Propane'!I15*'Cracker Yields'!$E$6</f>
        <v>5612.5166666666664</v>
      </c>
      <c r="J21" s="405">
        <f>J12*'Cracker Yields'!$B$6+'Financial Model High Propane'!J13*'Cracker Yields'!$C$6+'Financial Model High Propane'!J14*'Cracker Yields'!$D$6+'Financial Model High Propane'!J15*'Cracker Yields'!$E$6</f>
        <v>5612.5166666666664</v>
      </c>
      <c r="K21" s="405">
        <f>K12*'Cracker Yields'!$B$6+'Financial Model High Propane'!K13*'Cracker Yields'!$C$6+'Financial Model High Propane'!K14*'Cracker Yields'!$D$6+'Financial Model High Propane'!K15*'Cracker Yields'!$E$6</f>
        <v>5612.5166666666664</v>
      </c>
      <c r="L21" s="405">
        <f>L12*'Cracker Yields'!$B$6+'Financial Model High Propane'!L13*'Cracker Yields'!$C$6+'Financial Model High Propane'!L14*'Cracker Yields'!$D$6+'Financial Model High Propane'!L15*'Cracker Yields'!$E$6</f>
        <v>5612.5166666666664</v>
      </c>
      <c r="M21" s="405">
        <f>M12*'Cracker Yields'!$B$6+'Financial Model High Propane'!M13*'Cracker Yields'!$C$6+'Financial Model High Propane'!M14*'Cracker Yields'!$D$6+'Financial Model High Propane'!M15*'Cracker Yields'!$E$6</f>
        <v>5612.5166666666664</v>
      </c>
      <c r="N21" s="405">
        <f>N12*'Cracker Yields'!$B$6+'Financial Model High Propane'!N13*'Cracker Yields'!$C$6+'Financial Model High Propane'!N14*'Cracker Yields'!$D$6+'Financial Model High Propane'!N15*'Cracker Yields'!$E$6</f>
        <v>5612.5166666666664</v>
      </c>
      <c r="O21" s="405">
        <f>O12*'Cracker Yields'!$B$6+'Financial Model High Propane'!O13*'Cracker Yields'!$C$6+'Financial Model High Propane'!O14*'Cracker Yields'!$D$6+'Financial Model High Propane'!O15*'Cracker Yields'!$E$6</f>
        <v>5612.5166666666664</v>
      </c>
      <c r="P21" s="405">
        <f>P12*'Cracker Yields'!$B$6+'Financial Model High Propane'!P13*'Cracker Yields'!$C$6+'Financial Model High Propane'!P14*'Cracker Yields'!$D$6+'Financial Model High Propane'!P15*'Cracker Yields'!$E$6</f>
        <v>5612.5166666666664</v>
      </c>
      <c r="Q21" s="405">
        <f>Q12*'Cracker Yields'!$B$6+'Financial Model High Propane'!Q13*'Cracker Yields'!$C$6+'Financial Model High Propane'!Q14*'Cracker Yields'!$D$6+'Financial Model High Propane'!Q15*'Cracker Yields'!$E$6</f>
        <v>5612.5166666666664</v>
      </c>
      <c r="R21" s="405">
        <f>R12*'Cracker Yields'!$B$6+'Financial Model High Propane'!R13*'Cracker Yields'!$C$6+'Financial Model High Propane'!R14*'Cracker Yields'!$D$6+'Financial Model High Propane'!R15*'Cracker Yields'!$E$6</f>
        <v>5612.5166666666664</v>
      </c>
      <c r="S21" s="405">
        <f>S12*'Cracker Yields'!$B$6+'Financial Model High Propane'!S13*'Cracker Yields'!$C$6+'Financial Model High Propane'!S14*'Cracker Yields'!$D$6+'Financial Model High Propane'!S15*'Cracker Yields'!$E$6</f>
        <v>5612.5166666666664</v>
      </c>
      <c r="T21" s="405">
        <f>T12*'Cracker Yields'!$B$6+'Financial Model High Propane'!T13*'Cracker Yields'!$C$6+'Financial Model High Propane'!T14*'Cracker Yields'!$D$6+'Financial Model High Propane'!T15*'Cracker Yields'!$E$6</f>
        <v>5612.5166666666664</v>
      </c>
      <c r="U21" s="405">
        <f>U12*'Cracker Yields'!$B$6+'Financial Model High Propane'!U13*'Cracker Yields'!$C$6+'Financial Model High Propane'!U14*'Cracker Yields'!$D$6+'Financial Model High Propane'!U15*'Cracker Yields'!$E$6</f>
        <v>5612.5166666666664</v>
      </c>
      <c r="V21" s="405">
        <f>V12*'Cracker Yields'!$B$6+'Financial Model High Propane'!V13*'Cracker Yields'!$C$6+'Financial Model High Propane'!V14*'Cracker Yields'!$D$6+'Financial Model High Propane'!V15*'Cracker Yields'!$E$6</f>
        <v>5612.5166666666664</v>
      </c>
      <c r="W21" s="405">
        <f>W12*'Cracker Yields'!$B$6+'Financial Model High Propane'!W13*'Cracker Yields'!$C$6+'Financial Model High Propane'!W14*'Cracker Yields'!$D$6+'Financial Model High Propane'!W15*'Cracker Yields'!$E$6</f>
        <v>5612.5166666666664</v>
      </c>
      <c r="X21" s="405">
        <f>X12*'Cracker Yields'!$B$6+'Financial Model High Propane'!X13*'Cracker Yields'!$C$6+'Financial Model High Propane'!X14*'Cracker Yields'!$D$6+'Financial Model High Propane'!X15*'Cracker Yields'!$E$6</f>
        <v>5612.5166666666664</v>
      </c>
      <c r="Y21" s="405">
        <f>Y12*'Cracker Yields'!$B$6+'Financial Model High Propane'!Y13*'Cracker Yields'!$C$6+'Financial Model High Propane'!Y14*'Cracker Yields'!$D$6+'Financial Model High Propane'!Y15*'Cracker Yields'!$E$6</f>
        <v>5612.5166666666664</v>
      </c>
      <c r="Z21" s="405">
        <f>Z12*'Cracker Yields'!$B$6+'Financial Model High Propane'!Z13*'Cracker Yields'!$C$6+'Financial Model High Propane'!Z14*'Cracker Yields'!$D$6+'Financial Model High Propane'!Z15*'Cracker Yields'!$E$6</f>
        <v>5612.5166666666664</v>
      </c>
      <c r="AA21" s="405">
        <f>AA12*'Cracker Yields'!$B$6+'Financial Model High Propane'!AA13*'Cracker Yields'!$C$6+'Financial Model High Propane'!AA14*'Cracker Yields'!$D$6+'Financial Model High Propane'!AA15*'Cracker Yields'!$E$6</f>
        <v>5612.5166666666664</v>
      </c>
      <c r="AB21" s="405">
        <f>AB12*'Cracker Yields'!$B$6+'Financial Model High Propane'!AB13*'Cracker Yields'!$C$6+'Financial Model High Propane'!AB14*'Cracker Yields'!$D$6+'Financial Model High Propane'!AB15*'Cracker Yields'!$E$6</f>
        <v>5612.5166666666664</v>
      </c>
      <c r="AC21" s="405">
        <f>AC12*'Cracker Yields'!$B$6+'Financial Model High Propane'!AC13*'Cracker Yields'!$C$6+'Financial Model High Propane'!AC14*'Cracker Yields'!$D$6+'Financial Model High Propane'!AC15*'Cracker Yields'!$E$6</f>
        <v>5612.5166666666664</v>
      </c>
      <c r="AD21" s="405">
        <f>AD12*'Cracker Yields'!$B$6+'Financial Model High Propane'!AD13*'Cracker Yields'!$C$6+'Financial Model High Propane'!AD14*'Cracker Yields'!$D$6+'Financial Model High Propane'!AD15*'Cracker Yields'!$E$6</f>
        <v>5612.5166666666664</v>
      </c>
      <c r="AE21" s="405">
        <f>AE12*'Cracker Yields'!$B$6+'Financial Model High Propane'!AE13*'Cracker Yields'!$C$6+'Financial Model High Propane'!AE14*'Cracker Yields'!$D$6+'Financial Model High Propane'!AE15*'Cracker Yields'!$E$6</f>
        <v>5612.5166666666664</v>
      </c>
      <c r="AF21" s="405">
        <f>AF12*'Cracker Yields'!$B$6+'Financial Model High Propane'!AF13*'Cracker Yields'!$C$6+'Financial Model High Propane'!AF14*'Cracker Yields'!$D$6+'Financial Model High Propane'!AF15*'Cracker Yields'!$E$6</f>
        <v>5612.5166666666664</v>
      </c>
      <c r="AG21" s="405">
        <f>AG12*'Cracker Yields'!$B$6+'Financial Model High Propane'!AG13*'Cracker Yields'!$C$6+'Financial Model High Propane'!AG14*'Cracker Yields'!$D$6+'Financial Model High Propane'!AG15*'Cracker Yields'!$E$6</f>
        <v>5612.5166666666664</v>
      </c>
      <c r="AH21" s="405">
        <f>AH12*'Cracker Yields'!$B$6+'Financial Model High Propane'!AH13*'Cracker Yields'!$C$6+'Financial Model High Propane'!AH14*'Cracker Yields'!$D$6+'Financial Model High Propane'!AH15*'Cracker Yields'!$E$6</f>
        <v>5612.5166666666664</v>
      </c>
      <c r="AI21" s="405">
        <f>AI12*'Cracker Yields'!$B$6+'Financial Model High Propane'!AI13*'Cracker Yields'!$C$6+'Financial Model High Propane'!AI14*'Cracker Yields'!$D$6+'Financial Model High Propane'!AI15*'Cracker Yields'!$E$6</f>
        <v>5612.5166666666664</v>
      </c>
      <c r="AJ21" s="405">
        <f>AJ12*'Cracker Yields'!$B$6+'Financial Model High Propane'!AJ13*'Cracker Yields'!$C$6+'Financial Model High Propane'!AJ14*'Cracker Yields'!$D$6+'Financial Model High Propane'!AJ15*'Cracker Yields'!$E$6</f>
        <v>5612.5166666666664</v>
      </c>
      <c r="AK21" s="405">
        <f>AK12*'Cracker Yields'!$B$6+'Financial Model High Propane'!AK13*'Cracker Yields'!$C$6+'Financial Model High Propane'!AK14*'Cracker Yields'!$D$6+'Financial Model High Propane'!AK15*'Cracker Yields'!$E$6</f>
        <v>5612.5166666666664</v>
      </c>
      <c r="AL21" s="405">
        <f>AL12*'Cracker Yields'!$B$6+'Financial Model High Propane'!AL13*'Cracker Yields'!$C$6+'Financial Model High Propane'!AL14*'Cracker Yields'!$D$6+'Financial Model High Propane'!AL15*'Cracker Yields'!$E$6</f>
        <v>5612.5166666666664</v>
      </c>
      <c r="AM21" s="405">
        <f>AM12*'Cracker Yields'!$B$6+'Financial Model High Propane'!AM13*'Cracker Yields'!$C$6+'Financial Model High Propane'!AM14*'Cracker Yields'!$D$6+'Financial Model High Propane'!AM15*'Cracker Yields'!$E$6</f>
        <v>5612.5166666666664</v>
      </c>
      <c r="AN21" s="405">
        <f>AN12*'Cracker Yields'!$B$6+'Financial Model High Propane'!AN13*'Cracker Yields'!$C$6+'Financial Model High Propane'!AN14*'Cracker Yields'!$D$6+'Financial Model High Propane'!AN15*'Cracker Yields'!$E$6</f>
        <v>5612.5166666666664</v>
      </c>
      <c r="AO21" s="405">
        <f>AO12*'Cracker Yields'!$B$6+'Financial Model High Propane'!AO13*'Cracker Yields'!$C$6+'Financial Model High Propane'!AO14*'Cracker Yields'!$D$6+'Financial Model High Propane'!AO15*'Cracker Yields'!$E$6</f>
        <v>5612.5166666666664</v>
      </c>
      <c r="AP21" s="405">
        <f>AP12*'Cracker Yields'!$B$6+'Financial Model High Propane'!AP13*'Cracker Yields'!$C$6+'Financial Model High Propane'!AP14*'Cracker Yields'!$D$6+'Financial Model High Propane'!AP15*'Cracker Yields'!$E$6</f>
        <v>5612.5166666666664</v>
      </c>
      <c r="AQ21" s="405">
        <f>AQ12*'Cracker Yields'!$B$6+'Financial Model High Propane'!AQ13*'Cracker Yields'!$C$6+'Financial Model High Propane'!AQ14*'Cracker Yields'!$D$6+'Financial Model High Propane'!AQ15*'Cracker Yields'!$E$6</f>
        <v>5612.5166666666664</v>
      </c>
      <c r="AR21" s="405">
        <f>AR12*'Cracker Yields'!$B$6+'Financial Model High Propane'!AR13*'Cracker Yields'!$C$6+'Financial Model High Propane'!AR14*'Cracker Yields'!$D$6+'Financial Model High Propane'!AR15*'Cracker Yields'!$E$6</f>
        <v>5612.5166666666664</v>
      </c>
      <c r="AS21" s="405">
        <f>AS12*'Cracker Yields'!$B$6+'Financial Model High Propane'!AS13*'Cracker Yields'!$C$6+'Financial Model High Propane'!AS14*'Cracker Yields'!$D$6+'Financial Model High Propane'!AS15*'Cracker Yields'!$E$6</f>
        <v>5612.5166666666664</v>
      </c>
      <c r="AT21" s="405">
        <f>AT12*'Cracker Yields'!$B$6+'Financial Model High Propane'!AT13*'Cracker Yields'!$C$6+'Financial Model High Propane'!AT14*'Cracker Yields'!$D$6+'Financial Model High Propane'!AT15*'Cracker Yields'!$E$6</f>
        <v>5612.5166666666664</v>
      </c>
      <c r="AU21" s="405">
        <f>AU12*'Cracker Yields'!$B$6+'Financial Model High Propane'!AU13*'Cracker Yields'!$C$6+'Financial Model High Propane'!AU14*'Cracker Yields'!$D$6+'Financial Model High Propane'!AU15*'Cracker Yields'!$E$6</f>
        <v>5612.5166666666664</v>
      </c>
      <c r="AV21" s="405">
        <f>AV12*'Cracker Yields'!$B$6+'Financial Model High Propane'!AV13*'Cracker Yields'!$C$6+'Financial Model High Propane'!AV14*'Cracker Yields'!$D$6+'Financial Model High Propane'!AV15*'Cracker Yields'!$E$6</f>
        <v>5612.5166666666664</v>
      </c>
      <c r="AW21" s="405">
        <f>AW12*'Cracker Yields'!$B$6+'Financial Model High Propane'!AW13*'Cracker Yields'!$C$6+'Financial Model High Propane'!AW14*'Cracker Yields'!$D$6+'Financial Model High Propane'!AW15*'Cracker Yields'!$E$6</f>
        <v>5612.5166666666664</v>
      </c>
      <c r="AX21" s="405">
        <f>AX12*'Cracker Yields'!$B$6+'Financial Model High Propane'!AX13*'Cracker Yields'!$C$6+'Financial Model High Propane'!AX14*'Cracker Yields'!$D$6+'Financial Model High Propane'!AX15*'Cracker Yields'!$E$6</f>
        <v>5612.5166666666664</v>
      </c>
      <c r="AY21" s="405">
        <f>AY12*'Cracker Yields'!$B$6+'Financial Model High Propane'!AY13*'Cracker Yields'!$C$6+'Financial Model High Propane'!AY14*'Cracker Yields'!$D$6+'Financial Model High Propane'!AY15*'Cracker Yields'!$E$6</f>
        <v>5612.5166666666664</v>
      </c>
      <c r="AZ21" s="405">
        <f>AZ12*'Cracker Yields'!$B$6+'Financial Model High Propane'!AZ13*'Cracker Yields'!$C$6+'Financial Model High Propane'!AZ14*'Cracker Yields'!$D$6+'Financial Model High Propane'!AZ15*'Cracker Yields'!$E$6</f>
        <v>5612.5166666666664</v>
      </c>
      <c r="BA21" s="405">
        <f>BA12*'Cracker Yields'!$B$6+'Financial Model High Propane'!BA13*'Cracker Yields'!$C$6+'Financial Model High Propane'!BA14*'Cracker Yields'!$D$6+'Financial Model High Propane'!BA15*'Cracker Yields'!$E$6</f>
        <v>5612.5166666666664</v>
      </c>
      <c r="BB21" s="405">
        <f>BB12*'Cracker Yields'!$B$6+'Financial Model High Propane'!BB13*'Cracker Yields'!$C$6+'Financial Model High Propane'!BB14*'Cracker Yields'!$D$6+'Financial Model High Propane'!BB15*'Cracker Yields'!$E$6</f>
        <v>5612.5166666666664</v>
      </c>
      <c r="BC21" s="405">
        <f>BC12*'Cracker Yields'!$B$6+'Financial Model High Propane'!BC13*'Cracker Yields'!$C$6+'Financial Model High Propane'!BC14*'Cracker Yields'!$D$6+'Financial Model High Propane'!BC15*'Cracker Yields'!$E$6</f>
        <v>5612.5166666666664</v>
      </c>
      <c r="BD21" s="405">
        <f>BD12*'Cracker Yields'!$B$6+'Financial Model High Propane'!BD13*'Cracker Yields'!$C$6+'Financial Model High Propane'!BD14*'Cracker Yields'!$D$6+'Financial Model High Propane'!BD15*'Cracker Yields'!$E$6</f>
        <v>5612.5166666666664</v>
      </c>
      <c r="BE21" s="405">
        <f>BE12*'Cracker Yields'!$B$6+'Financial Model High Propane'!BE13*'Cracker Yields'!$C$6+'Financial Model High Propane'!BE14*'Cracker Yields'!$D$6+'Financial Model High Propane'!BE15*'Cracker Yields'!$E$6</f>
        <v>5612.5166666666664</v>
      </c>
      <c r="BF21" s="405">
        <f>BF12*'Cracker Yields'!$B$6+'Financial Model High Propane'!BF13*'Cracker Yields'!$C$6+'Financial Model High Propane'!BF14*'Cracker Yields'!$D$6+'Financial Model High Propane'!BF15*'Cracker Yields'!$E$6</f>
        <v>5612.5166666666664</v>
      </c>
      <c r="BG21" s="405">
        <f>BG12*'Cracker Yields'!$B$6+'Financial Model High Propane'!BG13*'Cracker Yields'!$C$6+'Financial Model High Propane'!BG14*'Cracker Yields'!$D$6+'Financial Model High Propane'!BG15*'Cracker Yields'!$E$6</f>
        <v>5612.5166666666664</v>
      </c>
      <c r="BH21" s="405">
        <f>BH12*'Cracker Yields'!$B$6+'Financial Model High Propane'!BH13*'Cracker Yields'!$C$6+'Financial Model High Propane'!BH14*'Cracker Yields'!$D$6+'Financial Model High Propane'!BH15*'Cracker Yields'!$E$6</f>
        <v>5612.5166666666664</v>
      </c>
      <c r="BI21" s="405">
        <f>BI12*'Cracker Yields'!$B$6+'Financial Model High Propane'!BI13*'Cracker Yields'!$C$6+'Financial Model High Propane'!BI14*'Cracker Yields'!$D$6+'Financial Model High Propane'!BI15*'Cracker Yields'!$E$6</f>
        <v>5612.5166666666664</v>
      </c>
      <c r="BJ21" s="405">
        <f>BJ12*'Cracker Yields'!$B$6+'Financial Model High Propane'!BJ13*'Cracker Yields'!$C$6+'Financial Model High Propane'!BJ14*'Cracker Yields'!$D$6+'Financial Model High Propane'!BJ15*'Cracker Yields'!$E$6</f>
        <v>5612.5166666666664</v>
      </c>
      <c r="BK21" s="405">
        <f>BK12*'Cracker Yields'!$B$6+'Financial Model High Propane'!BK13*'Cracker Yields'!$C$6+'Financial Model High Propane'!BK14*'Cracker Yields'!$D$6+'Financial Model High Propane'!BK15*'Cracker Yields'!$E$6</f>
        <v>5612.5166666666664</v>
      </c>
      <c r="BL21" s="405">
        <f>BL12*'Cracker Yields'!$B$6+'Financial Model High Propane'!BL13*'Cracker Yields'!$C$6+'Financial Model High Propane'!BL14*'Cracker Yields'!$D$6+'Financial Model High Propane'!BL15*'Cracker Yields'!$E$6</f>
        <v>5612.5166666666664</v>
      </c>
      <c r="BM21" s="405">
        <f>BM12*'Cracker Yields'!$B$6+'Financial Model High Propane'!BM13*'Cracker Yields'!$C$6+'Financial Model High Propane'!BM14*'Cracker Yields'!$D$6+'Financial Model High Propane'!BM15*'Cracker Yields'!$E$6</f>
        <v>5612.5166666666664</v>
      </c>
      <c r="BN21" s="405">
        <f>BN12*'Cracker Yields'!$B$6+'Financial Model High Propane'!BN13*'Cracker Yields'!$C$6+'Financial Model High Propane'!BN14*'Cracker Yields'!$D$6+'Financial Model High Propane'!BN15*'Cracker Yields'!$E$6</f>
        <v>5612.5166666666664</v>
      </c>
      <c r="BO21" s="405">
        <f>BO12*'Cracker Yields'!$B$6+'Financial Model High Propane'!BO13*'Cracker Yields'!$C$6+'Financial Model High Propane'!BO14*'Cracker Yields'!$D$6+'Financial Model High Propane'!BO15*'Cracker Yields'!$E$6</f>
        <v>5612.5166666666664</v>
      </c>
      <c r="BP21" s="405">
        <f>BP12*'Cracker Yields'!$B$6+'Financial Model High Propane'!BP13*'Cracker Yields'!$C$6+'Financial Model High Propane'!BP14*'Cracker Yields'!$D$6+'Financial Model High Propane'!BP15*'Cracker Yields'!$E$6</f>
        <v>5612.5166666666664</v>
      </c>
      <c r="BQ21" s="405">
        <f>BQ12*'Cracker Yields'!$B$6+'Financial Model High Propane'!BQ13*'Cracker Yields'!$C$6+'Financial Model High Propane'!BQ14*'Cracker Yields'!$D$6+'Financial Model High Propane'!BQ15*'Cracker Yields'!$E$6</f>
        <v>5612.5166666666664</v>
      </c>
      <c r="BR21" s="405">
        <f>BR12*'Cracker Yields'!$B$6+'Financial Model High Propane'!BR13*'Cracker Yields'!$C$6+'Financial Model High Propane'!BR14*'Cracker Yields'!$D$6+'Financial Model High Propane'!BR15*'Cracker Yields'!$E$6</f>
        <v>5612.5166666666664</v>
      </c>
      <c r="BS21" s="405">
        <f>BS12*'Cracker Yields'!$B$6+'Financial Model High Propane'!BS13*'Cracker Yields'!$C$6+'Financial Model High Propane'!BS14*'Cracker Yields'!$D$6+'Financial Model High Propane'!BS15*'Cracker Yields'!$E$6</f>
        <v>5612.5166666666664</v>
      </c>
      <c r="BT21" s="405">
        <f>BT12*'Cracker Yields'!$B$6+'Financial Model High Propane'!BT13*'Cracker Yields'!$C$6+'Financial Model High Propane'!BT14*'Cracker Yields'!$D$6+'Financial Model High Propane'!BT15*'Cracker Yields'!$E$6</f>
        <v>5612.5166666666664</v>
      </c>
      <c r="BU21" s="405">
        <f>BU12*'Cracker Yields'!$B$6+'Financial Model High Propane'!BU13*'Cracker Yields'!$C$6+'Financial Model High Propane'!BU14*'Cracker Yields'!$D$6+'Financial Model High Propane'!BU15*'Cracker Yields'!$E$6</f>
        <v>5612.5166666666664</v>
      </c>
      <c r="BV21" s="405">
        <f>BV12*'Cracker Yields'!$B$6+'Financial Model High Propane'!BV13*'Cracker Yields'!$C$6+'Financial Model High Propane'!BV14*'Cracker Yields'!$D$6+'Financial Model High Propane'!BV15*'Cracker Yields'!$E$6</f>
        <v>5612.5166666666664</v>
      </c>
      <c r="BW21" s="405">
        <f>BW12*'Cracker Yields'!$B$6+'Financial Model High Propane'!BW13*'Cracker Yields'!$C$6+'Financial Model High Propane'!BW14*'Cracker Yields'!$D$6+'Financial Model High Propane'!BW15*'Cracker Yields'!$E$6</f>
        <v>5612.5166666666664</v>
      </c>
      <c r="BX21" s="405">
        <f>BX12*'Cracker Yields'!$B$6+'Financial Model High Propane'!BX13*'Cracker Yields'!$C$6+'Financial Model High Propane'!BX14*'Cracker Yields'!$D$6+'Financial Model High Propane'!BX15*'Cracker Yields'!$E$6</f>
        <v>5612.5166666666664</v>
      </c>
      <c r="BY21" s="405">
        <f>BY12*'Cracker Yields'!$B$6+'Financial Model High Propane'!BY13*'Cracker Yields'!$C$6+'Financial Model High Propane'!BY14*'Cracker Yields'!$D$6+'Financial Model High Propane'!BY15*'Cracker Yields'!$E$6</f>
        <v>5612.5166666666664</v>
      </c>
      <c r="BZ21" s="405">
        <f>BZ12*'Cracker Yields'!$B$6+'Financial Model High Propane'!BZ13*'Cracker Yields'!$C$6+'Financial Model High Propane'!BZ14*'Cracker Yields'!$D$6+'Financial Model High Propane'!BZ15*'Cracker Yields'!$E$6</f>
        <v>5612.5166666666664</v>
      </c>
      <c r="CA21" s="405">
        <f>CA12*'Cracker Yields'!$B$6+'Financial Model High Propane'!CA13*'Cracker Yields'!$C$6+'Financial Model High Propane'!CA14*'Cracker Yields'!$D$6+'Financial Model High Propane'!CA15*'Cracker Yields'!$E$6</f>
        <v>5612.5166666666664</v>
      </c>
      <c r="CB21" s="405">
        <f>CB12*'Cracker Yields'!$B$6+'Financial Model High Propane'!CB13*'Cracker Yields'!$C$6+'Financial Model High Propane'!CB14*'Cracker Yields'!$D$6+'Financial Model High Propane'!CB15*'Cracker Yields'!$E$6</f>
        <v>5612.5166666666664</v>
      </c>
      <c r="CC21" s="405">
        <f>CC12*'Cracker Yields'!$B$6+'Financial Model High Propane'!CC13*'Cracker Yields'!$C$6+'Financial Model High Propane'!CC14*'Cracker Yields'!$D$6+'Financial Model High Propane'!CC15*'Cracker Yields'!$E$6</f>
        <v>5612.5166666666664</v>
      </c>
      <c r="CD21" s="405">
        <f>CD12*'Cracker Yields'!$B$6+'Financial Model High Propane'!CD13*'Cracker Yields'!$C$6+'Financial Model High Propane'!CD14*'Cracker Yields'!$D$6+'Financial Model High Propane'!CD15*'Cracker Yields'!$E$6</f>
        <v>5612.5166666666664</v>
      </c>
      <c r="CE21" s="405">
        <f>CE12*'Cracker Yields'!$B$6+'Financial Model High Propane'!CE13*'Cracker Yields'!$C$6+'Financial Model High Propane'!CE14*'Cracker Yields'!$D$6+'Financial Model High Propane'!CE15*'Cracker Yields'!$E$6</f>
        <v>5612.5166666666664</v>
      </c>
      <c r="CF21" s="405">
        <f>CF12*'Cracker Yields'!$B$6+'Financial Model High Propane'!CF13*'Cracker Yields'!$C$6+'Financial Model High Propane'!CF14*'Cracker Yields'!$D$6+'Financial Model High Propane'!CF15*'Cracker Yields'!$E$6</f>
        <v>5612.5166666666664</v>
      </c>
      <c r="CG21" s="405">
        <f>CG12*'Cracker Yields'!$B$6+'Financial Model High Propane'!CG13*'Cracker Yields'!$C$6+'Financial Model High Propane'!CG14*'Cracker Yields'!$D$6+'Financial Model High Propane'!CG15*'Cracker Yields'!$E$6</f>
        <v>5612.5166666666664</v>
      </c>
      <c r="CH21" s="405">
        <f>CH12*'Cracker Yields'!$B$6+'Financial Model High Propane'!CH13*'Cracker Yields'!$C$6+'Financial Model High Propane'!CH14*'Cracker Yields'!$D$6+'Financial Model High Propane'!CH15*'Cracker Yields'!$E$6</f>
        <v>5612.5166666666664</v>
      </c>
      <c r="CI21" s="405">
        <f>CI12*'Cracker Yields'!$B$6+'Financial Model High Propane'!CI13*'Cracker Yields'!$C$6+'Financial Model High Propane'!CI14*'Cracker Yields'!$D$6+'Financial Model High Propane'!CI15*'Cracker Yields'!$E$6</f>
        <v>5612.5166666666664</v>
      </c>
      <c r="CJ21" s="405">
        <f>CJ12*'Cracker Yields'!$B$6+'Financial Model High Propane'!CJ13*'Cracker Yields'!$C$6+'Financial Model High Propane'!CJ14*'Cracker Yields'!$D$6+'Financial Model High Propane'!CJ15*'Cracker Yields'!$E$6</f>
        <v>5612.5166666666664</v>
      </c>
      <c r="CK21" s="405">
        <f>CK12*'Cracker Yields'!$B$6+'Financial Model High Propane'!CK13*'Cracker Yields'!$C$6+'Financial Model High Propane'!CK14*'Cracker Yields'!$D$6+'Financial Model High Propane'!CK15*'Cracker Yields'!$E$6</f>
        <v>5612.5166666666664</v>
      </c>
      <c r="CL21" s="405">
        <f>CL12*'Cracker Yields'!$B$6+'Financial Model High Propane'!CL13*'Cracker Yields'!$C$6+'Financial Model High Propane'!CL14*'Cracker Yields'!$D$6+'Financial Model High Propane'!CL15*'Cracker Yields'!$E$6</f>
        <v>5612.5166666666664</v>
      </c>
      <c r="CM21" s="41">
        <f t="shared" si="1"/>
        <v>5612.5166666666637</v>
      </c>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c r="EB21" s="58"/>
      <c r="EC21" s="58"/>
      <c r="ED21" s="58"/>
      <c r="EE21" s="58"/>
      <c r="EF21" s="58"/>
      <c r="EG21" s="58"/>
      <c r="EH21" s="58"/>
      <c r="EI21" s="58"/>
      <c r="EJ21" s="58"/>
      <c r="EK21" s="58"/>
      <c r="EL21" s="58"/>
      <c r="EM21" s="58"/>
      <c r="EN21" s="58"/>
      <c r="EO21" s="58"/>
      <c r="EP21" s="58"/>
      <c r="EQ21" s="58"/>
      <c r="ER21" s="58"/>
      <c r="ES21" s="58"/>
      <c r="ET21" s="58"/>
      <c r="EU21" s="58"/>
      <c r="EV21" s="58"/>
      <c r="EW21" s="58"/>
      <c r="EX21" s="58"/>
      <c r="EY21" s="58"/>
      <c r="EZ21" s="58"/>
      <c r="FA21" s="58"/>
      <c r="FB21" s="58"/>
      <c r="FC21" s="58"/>
      <c r="FD21" s="58"/>
      <c r="FE21" s="58"/>
      <c r="FF21" s="58"/>
      <c r="FG21" s="58"/>
      <c r="FH21" s="58"/>
      <c r="FI21" s="58"/>
      <c r="FJ21" s="58"/>
      <c r="FK21" s="58"/>
      <c r="FL21" s="58"/>
      <c r="FM21" s="58"/>
      <c r="FN21" s="58"/>
      <c r="FO21" s="58"/>
      <c r="FP21" s="58"/>
      <c r="FQ21" s="58"/>
      <c r="FR21" s="58"/>
      <c r="FS21" s="58"/>
      <c r="FT21" s="58"/>
      <c r="FU21" s="58"/>
      <c r="FV21" s="58"/>
    </row>
    <row r="22" spans="1:178">
      <c r="A22" s="1069"/>
      <c r="B22" s="224" t="s">
        <v>312</v>
      </c>
      <c r="C22" s="367" t="s">
        <v>313</v>
      </c>
      <c r="D22" s="367"/>
      <c r="E22" s="1072"/>
      <c r="F22" s="407" t="str">
        <f>F11</f>
        <v xml:space="preserve"> C9+   </v>
      </c>
      <c r="G22" s="408">
        <f>G12*'Cracker Yields'!$B$12+'Financial Model High Propane'!G13*'Cracker Yields'!$C$12+'Financial Model High Propane'!G14*'Cracker Yields'!$D$12+'Financial Model High Propane'!G15*'Cracker Yields'!$E$12</f>
        <v>3984.7713749999998</v>
      </c>
      <c r="H22" s="408">
        <f>H12*'Cracker Yields'!$B$12+'Financial Model High Propane'!H13*'Cracker Yields'!$C$12+'Financial Model High Propane'!H14*'Cracker Yields'!$D$12+'Financial Model High Propane'!H15*'Cracker Yields'!$E$12</f>
        <v>3984.7713749999998</v>
      </c>
      <c r="I22" s="408">
        <f>I12*'Cracker Yields'!$B$12+'Financial Model High Propane'!I13*'Cracker Yields'!$C$12+'Financial Model High Propane'!I14*'Cracker Yields'!$D$12+'Financial Model High Propane'!I15*'Cracker Yields'!$E$12</f>
        <v>3984.7713749999998</v>
      </c>
      <c r="J22" s="408">
        <f>J12*'Cracker Yields'!$B$12+'Financial Model High Propane'!J13*'Cracker Yields'!$C$12+'Financial Model High Propane'!J14*'Cracker Yields'!$D$12+'Financial Model High Propane'!J15*'Cracker Yields'!$E$12</f>
        <v>3984.7713749999998</v>
      </c>
      <c r="K22" s="408">
        <f>K12*'Cracker Yields'!$B$12+'Financial Model High Propane'!K13*'Cracker Yields'!$C$12+'Financial Model High Propane'!K14*'Cracker Yields'!$D$12+'Financial Model High Propane'!K15*'Cracker Yields'!$E$12</f>
        <v>3984.7713749999998</v>
      </c>
      <c r="L22" s="408">
        <f>L12*'Cracker Yields'!$B$12+'Financial Model High Propane'!L13*'Cracker Yields'!$C$12+'Financial Model High Propane'!L14*'Cracker Yields'!$D$12+'Financial Model High Propane'!L15*'Cracker Yields'!$E$12</f>
        <v>3984.7713749999998</v>
      </c>
      <c r="M22" s="408">
        <f>M12*'Cracker Yields'!$B$12+'Financial Model High Propane'!M13*'Cracker Yields'!$C$12+'Financial Model High Propane'!M14*'Cracker Yields'!$D$12+'Financial Model High Propane'!M15*'Cracker Yields'!$E$12</f>
        <v>3984.7713749999998</v>
      </c>
      <c r="N22" s="408">
        <f>N12*'Cracker Yields'!$B$12+'Financial Model High Propane'!N13*'Cracker Yields'!$C$12+'Financial Model High Propane'!N14*'Cracker Yields'!$D$12+'Financial Model High Propane'!N15*'Cracker Yields'!$E$12</f>
        <v>3984.7713749999998</v>
      </c>
      <c r="O22" s="408">
        <f>O12*'Cracker Yields'!$B$12+'Financial Model High Propane'!O13*'Cracker Yields'!$C$12+'Financial Model High Propane'!O14*'Cracker Yields'!$D$12+'Financial Model High Propane'!O15*'Cracker Yields'!$E$12</f>
        <v>3984.7713749999998</v>
      </c>
      <c r="P22" s="408">
        <f>P12*'Cracker Yields'!$B$12+'Financial Model High Propane'!P13*'Cracker Yields'!$C$12+'Financial Model High Propane'!P14*'Cracker Yields'!$D$12+'Financial Model High Propane'!P15*'Cracker Yields'!$E$12</f>
        <v>3984.7713749999998</v>
      </c>
      <c r="Q22" s="408">
        <f>Q12*'Cracker Yields'!$B$12+'Financial Model High Propane'!Q13*'Cracker Yields'!$C$12+'Financial Model High Propane'!Q14*'Cracker Yields'!$D$12+'Financial Model High Propane'!Q15*'Cracker Yields'!$E$12</f>
        <v>3984.7713749999998</v>
      </c>
      <c r="R22" s="408">
        <f>R12*'Cracker Yields'!$B$12+'Financial Model High Propane'!R13*'Cracker Yields'!$C$12+'Financial Model High Propane'!R14*'Cracker Yields'!$D$12+'Financial Model High Propane'!R15*'Cracker Yields'!$E$12</f>
        <v>3984.7713749999998</v>
      </c>
      <c r="S22" s="408">
        <f>S12*'Cracker Yields'!$B$12+'Financial Model High Propane'!S13*'Cracker Yields'!$C$12+'Financial Model High Propane'!S14*'Cracker Yields'!$D$12+'Financial Model High Propane'!S15*'Cracker Yields'!$E$12</f>
        <v>3984.7713749999998</v>
      </c>
      <c r="T22" s="408">
        <f>T12*'Cracker Yields'!$B$12+'Financial Model High Propane'!T13*'Cracker Yields'!$C$12+'Financial Model High Propane'!T14*'Cracker Yields'!$D$12+'Financial Model High Propane'!T15*'Cracker Yields'!$E$12</f>
        <v>3984.7713749999998</v>
      </c>
      <c r="U22" s="408">
        <f>U12*'Cracker Yields'!$B$12+'Financial Model High Propane'!U13*'Cracker Yields'!$C$12+'Financial Model High Propane'!U14*'Cracker Yields'!$D$12+'Financial Model High Propane'!U15*'Cracker Yields'!$E$12</f>
        <v>3984.7713749999998</v>
      </c>
      <c r="V22" s="408">
        <f>V12*'Cracker Yields'!$B$12+'Financial Model High Propane'!V13*'Cracker Yields'!$C$12+'Financial Model High Propane'!V14*'Cracker Yields'!$D$12+'Financial Model High Propane'!V15*'Cracker Yields'!$E$12</f>
        <v>3984.7713749999998</v>
      </c>
      <c r="W22" s="408">
        <f>W12*'Cracker Yields'!$B$12+'Financial Model High Propane'!W13*'Cracker Yields'!$C$12+'Financial Model High Propane'!W14*'Cracker Yields'!$D$12+'Financial Model High Propane'!W15*'Cracker Yields'!$E$12</f>
        <v>3984.7713749999998</v>
      </c>
      <c r="X22" s="408">
        <f>X12*'Cracker Yields'!$B$12+'Financial Model High Propane'!X13*'Cracker Yields'!$C$12+'Financial Model High Propane'!X14*'Cracker Yields'!$D$12+'Financial Model High Propane'!X15*'Cracker Yields'!$E$12</f>
        <v>3984.7713749999998</v>
      </c>
      <c r="Y22" s="408">
        <f>Y12*'Cracker Yields'!$B$12+'Financial Model High Propane'!Y13*'Cracker Yields'!$C$12+'Financial Model High Propane'!Y14*'Cracker Yields'!$D$12+'Financial Model High Propane'!Y15*'Cracker Yields'!$E$12</f>
        <v>3984.7713749999998</v>
      </c>
      <c r="Z22" s="408">
        <f>Z12*'Cracker Yields'!$B$12+'Financial Model High Propane'!Z13*'Cracker Yields'!$C$12+'Financial Model High Propane'!Z14*'Cracker Yields'!$D$12+'Financial Model High Propane'!Z15*'Cracker Yields'!$E$12</f>
        <v>3984.7713749999998</v>
      </c>
      <c r="AA22" s="408">
        <f>AA12*'Cracker Yields'!$B$12+'Financial Model High Propane'!AA13*'Cracker Yields'!$C$12+'Financial Model High Propane'!AA14*'Cracker Yields'!$D$12+'Financial Model High Propane'!AA15*'Cracker Yields'!$E$12</f>
        <v>3984.7713749999998</v>
      </c>
      <c r="AB22" s="408">
        <f>AB12*'Cracker Yields'!$B$12+'Financial Model High Propane'!AB13*'Cracker Yields'!$C$12+'Financial Model High Propane'!AB14*'Cracker Yields'!$D$12+'Financial Model High Propane'!AB15*'Cracker Yields'!$E$12</f>
        <v>3984.7713749999998</v>
      </c>
      <c r="AC22" s="408">
        <f>AC12*'Cracker Yields'!$B$12+'Financial Model High Propane'!AC13*'Cracker Yields'!$C$12+'Financial Model High Propane'!AC14*'Cracker Yields'!$D$12+'Financial Model High Propane'!AC15*'Cracker Yields'!$E$12</f>
        <v>3984.7713749999998</v>
      </c>
      <c r="AD22" s="408">
        <f>AD12*'Cracker Yields'!$B$12+'Financial Model High Propane'!AD13*'Cracker Yields'!$C$12+'Financial Model High Propane'!AD14*'Cracker Yields'!$D$12+'Financial Model High Propane'!AD15*'Cracker Yields'!$E$12</f>
        <v>3984.7713749999998</v>
      </c>
      <c r="AE22" s="408">
        <f>AE12*'Cracker Yields'!$B$12+'Financial Model High Propane'!AE13*'Cracker Yields'!$C$12+'Financial Model High Propane'!AE14*'Cracker Yields'!$D$12+'Financial Model High Propane'!AE15*'Cracker Yields'!$E$12</f>
        <v>3984.7713749999998</v>
      </c>
      <c r="AF22" s="408">
        <f>AF12*'Cracker Yields'!$B$12+'Financial Model High Propane'!AF13*'Cracker Yields'!$C$12+'Financial Model High Propane'!AF14*'Cracker Yields'!$D$12+'Financial Model High Propane'!AF15*'Cracker Yields'!$E$12</f>
        <v>3984.7713749999998</v>
      </c>
      <c r="AG22" s="408">
        <f>AG12*'Cracker Yields'!$B$12+'Financial Model High Propane'!AG13*'Cracker Yields'!$C$12+'Financial Model High Propane'!AG14*'Cracker Yields'!$D$12+'Financial Model High Propane'!AG15*'Cracker Yields'!$E$12</f>
        <v>3984.7713749999998</v>
      </c>
      <c r="AH22" s="408">
        <f>AH12*'Cracker Yields'!$B$12+'Financial Model High Propane'!AH13*'Cracker Yields'!$C$12+'Financial Model High Propane'!AH14*'Cracker Yields'!$D$12+'Financial Model High Propane'!AH15*'Cracker Yields'!$E$12</f>
        <v>3984.7713749999998</v>
      </c>
      <c r="AI22" s="408">
        <f>AI12*'Cracker Yields'!$B$12+'Financial Model High Propane'!AI13*'Cracker Yields'!$C$12+'Financial Model High Propane'!AI14*'Cracker Yields'!$D$12+'Financial Model High Propane'!AI15*'Cracker Yields'!$E$12</f>
        <v>3984.7713749999998</v>
      </c>
      <c r="AJ22" s="408">
        <f>AJ12*'Cracker Yields'!$B$12+'Financial Model High Propane'!AJ13*'Cracker Yields'!$C$12+'Financial Model High Propane'!AJ14*'Cracker Yields'!$D$12+'Financial Model High Propane'!AJ15*'Cracker Yields'!$E$12</f>
        <v>3984.7713749999998</v>
      </c>
      <c r="AK22" s="408">
        <f>AK12*'Cracker Yields'!$B$12+'Financial Model High Propane'!AK13*'Cracker Yields'!$C$12+'Financial Model High Propane'!AK14*'Cracker Yields'!$D$12+'Financial Model High Propane'!AK15*'Cracker Yields'!$E$12</f>
        <v>3984.7713749999998</v>
      </c>
      <c r="AL22" s="408">
        <f>AL12*'Cracker Yields'!$B$12+'Financial Model High Propane'!AL13*'Cracker Yields'!$C$12+'Financial Model High Propane'!AL14*'Cracker Yields'!$D$12+'Financial Model High Propane'!AL15*'Cracker Yields'!$E$12</f>
        <v>3984.7713749999998</v>
      </c>
      <c r="AM22" s="408">
        <f>AM12*'Cracker Yields'!$B$12+'Financial Model High Propane'!AM13*'Cracker Yields'!$C$12+'Financial Model High Propane'!AM14*'Cracker Yields'!$D$12+'Financial Model High Propane'!AM15*'Cracker Yields'!$E$12</f>
        <v>3984.7713749999998</v>
      </c>
      <c r="AN22" s="408">
        <f>AN12*'Cracker Yields'!$B$12+'Financial Model High Propane'!AN13*'Cracker Yields'!$C$12+'Financial Model High Propane'!AN14*'Cracker Yields'!$D$12+'Financial Model High Propane'!AN15*'Cracker Yields'!$E$12</f>
        <v>3984.7713749999998</v>
      </c>
      <c r="AO22" s="408">
        <f>AO12*'Cracker Yields'!$B$12+'Financial Model High Propane'!AO13*'Cracker Yields'!$C$12+'Financial Model High Propane'!AO14*'Cracker Yields'!$D$12+'Financial Model High Propane'!AO15*'Cracker Yields'!$E$12</f>
        <v>3984.7713749999998</v>
      </c>
      <c r="AP22" s="408">
        <f>AP12*'Cracker Yields'!$B$12+'Financial Model High Propane'!AP13*'Cracker Yields'!$C$12+'Financial Model High Propane'!AP14*'Cracker Yields'!$D$12+'Financial Model High Propane'!AP15*'Cracker Yields'!$E$12</f>
        <v>3984.7713749999998</v>
      </c>
      <c r="AQ22" s="408">
        <f>AQ12*'Cracker Yields'!$B$12+'Financial Model High Propane'!AQ13*'Cracker Yields'!$C$12+'Financial Model High Propane'!AQ14*'Cracker Yields'!$D$12+'Financial Model High Propane'!AQ15*'Cracker Yields'!$E$12</f>
        <v>3984.7713749999998</v>
      </c>
      <c r="AR22" s="408">
        <f>AR12*'Cracker Yields'!$B$12+'Financial Model High Propane'!AR13*'Cracker Yields'!$C$12+'Financial Model High Propane'!AR14*'Cracker Yields'!$D$12+'Financial Model High Propane'!AR15*'Cracker Yields'!$E$12</f>
        <v>3984.7713749999998</v>
      </c>
      <c r="AS22" s="408">
        <f>AS12*'Cracker Yields'!$B$12+'Financial Model High Propane'!AS13*'Cracker Yields'!$C$12+'Financial Model High Propane'!AS14*'Cracker Yields'!$D$12+'Financial Model High Propane'!AS15*'Cracker Yields'!$E$12</f>
        <v>3984.7713749999998</v>
      </c>
      <c r="AT22" s="408">
        <f>AT12*'Cracker Yields'!$B$12+'Financial Model High Propane'!AT13*'Cracker Yields'!$C$12+'Financial Model High Propane'!AT14*'Cracker Yields'!$D$12+'Financial Model High Propane'!AT15*'Cracker Yields'!$E$12</f>
        <v>3984.7713749999998</v>
      </c>
      <c r="AU22" s="408">
        <f>AU12*'Cracker Yields'!$B$12+'Financial Model High Propane'!AU13*'Cracker Yields'!$C$12+'Financial Model High Propane'!AU14*'Cracker Yields'!$D$12+'Financial Model High Propane'!AU15*'Cracker Yields'!$E$12</f>
        <v>3984.7713749999998</v>
      </c>
      <c r="AV22" s="408">
        <f>AV12*'Cracker Yields'!$B$12+'Financial Model High Propane'!AV13*'Cracker Yields'!$C$12+'Financial Model High Propane'!AV14*'Cracker Yields'!$D$12+'Financial Model High Propane'!AV15*'Cracker Yields'!$E$12</f>
        <v>3984.7713749999998</v>
      </c>
      <c r="AW22" s="408">
        <f>AW12*'Cracker Yields'!$B$12+'Financial Model High Propane'!AW13*'Cracker Yields'!$C$12+'Financial Model High Propane'!AW14*'Cracker Yields'!$D$12+'Financial Model High Propane'!AW15*'Cracker Yields'!$E$12</f>
        <v>3984.7713749999998</v>
      </c>
      <c r="AX22" s="408">
        <f>AX12*'Cracker Yields'!$B$12+'Financial Model High Propane'!AX13*'Cracker Yields'!$C$12+'Financial Model High Propane'!AX14*'Cracker Yields'!$D$12+'Financial Model High Propane'!AX15*'Cracker Yields'!$E$12</f>
        <v>3984.7713749999998</v>
      </c>
      <c r="AY22" s="408">
        <f>AY12*'Cracker Yields'!$B$12+'Financial Model High Propane'!AY13*'Cracker Yields'!$C$12+'Financial Model High Propane'!AY14*'Cracker Yields'!$D$12+'Financial Model High Propane'!AY15*'Cracker Yields'!$E$12</f>
        <v>3984.7713749999998</v>
      </c>
      <c r="AZ22" s="408">
        <f>AZ12*'Cracker Yields'!$B$12+'Financial Model High Propane'!AZ13*'Cracker Yields'!$C$12+'Financial Model High Propane'!AZ14*'Cracker Yields'!$D$12+'Financial Model High Propane'!AZ15*'Cracker Yields'!$E$12</f>
        <v>3984.7713749999998</v>
      </c>
      <c r="BA22" s="408">
        <f>BA12*'Cracker Yields'!$B$12+'Financial Model High Propane'!BA13*'Cracker Yields'!$C$12+'Financial Model High Propane'!BA14*'Cracker Yields'!$D$12+'Financial Model High Propane'!BA15*'Cracker Yields'!$E$12</f>
        <v>3984.7713749999998</v>
      </c>
      <c r="BB22" s="408">
        <f>BB12*'Cracker Yields'!$B$12+'Financial Model High Propane'!BB13*'Cracker Yields'!$C$12+'Financial Model High Propane'!BB14*'Cracker Yields'!$D$12+'Financial Model High Propane'!BB15*'Cracker Yields'!$E$12</f>
        <v>3984.7713749999998</v>
      </c>
      <c r="BC22" s="408">
        <f>BC12*'Cracker Yields'!$B$12+'Financial Model High Propane'!BC13*'Cracker Yields'!$C$12+'Financial Model High Propane'!BC14*'Cracker Yields'!$D$12+'Financial Model High Propane'!BC15*'Cracker Yields'!$E$12</f>
        <v>3984.7713749999998</v>
      </c>
      <c r="BD22" s="408">
        <f>BD12*'Cracker Yields'!$B$12+'Financial Model High Propane'!BD13*'Cracker Yields'!$C$12+'Financial Model High Propane'!BD14*'Cracker Yields'!$D$12+'Financial Model High Propane'!BD15*'Cracker Yields'!$E$12</f>
        <v>3984.7713749999998</v>
      </c>
      <c r="BE22" s="408">
        <f>BE12*'Cracker Yields'!$B$12+'Financial Model High Propane'!BE13*'Cracker Yields'!$C$12+'Financial Model High Propane'!BE14*'Cracker Yields'!$D$12+'Financial Model High Propane'!BE15*'Cracker Yields'!$E$12</f>
        <v>3984.7713749999998</v>
      </c>
      <c r="BF22" s="408">
        <f>BF12*'Cracker Yields'!$B$12+'Financial Model High Propane'!BF13*'Cracker Yields'!$C$12+'Financial Model High Propane'!BF14*'Cracker Yields'!$D$12+'Financial Model High Propane'!BF15*'Cracker Yields'!$E$12</f>
        <v>3984.7713749999998</v>
      </c>
      <c r="BG22" s="408">
        <f>BG12*'Cracker Yields'!$B$12+'Financial Model High Propane'!BG13*'Cracker Yields'!$C$12+'Financial Model High Propane'!BG14*'Cracker Yields'!$D$12+'Financial Model High Propane'!BG15*'Cracker Yields'!$E$12</f>
        <v>3984.7713749999998</v>
      </c>
      <c r="BH22" s="408">
        <f>BH12*'Cracker Yields'!$B$12+'Financial Model High Propane'!BH13*'Cracker Yields'!$C$12+'Financial Model High Propane'!BH14*'Cracker Yields'!$D$12+'Financial Model High Propane'!BH15*'Cracker Yields'!$E$12</f>
        <v>3984.7713749999998</v>
      </c>
      <c r="BI22" s="408">
        <f>BI12*'Cracker Yields'!$B$12+'Financial Model High Propane'!BI13*'Cracker Yields'!$C$12+'Financial Model High Propane'!BI14*'Cracker Yields'!$D$12+'Financial Model High Propane'!BI15*'Cracker Yields'!$E$12</f>
        <v>3984.7713749999998</v>
      </c>
      <c r="BJ22" s="408">
        <f>BJ12*'Cracker Yields'!$B$12+'Financial Model High Propane'!BJ13*'Cracker Yields'!$C$12+'Financial Model High Propane'!BJ14*'Cracker Yields'!$D$12+'Financial Model High Propane'!BJ15*'Cracker Yields'!$E$12</f>
        <v>3984.7713749999998</v>
      </c>
      <c r="BK22" s="408">
        <f>BK12*'Cracker Yields'!$B$12+'Financial Model High Propane'!BK13*'Cracker Yields'!$C$12+'Financial Model High Propane'!BK14*'Cracker Yields'!$D$12+'Financial Model High Propane'!BK15*'Cracker Yields'!$E$12</f>
        <v>3984.7713749999998</v>
      </c>
      <c r="BL22" s="408">
        <f>BL12*'Cracker Yields'!$B$12+'Financial Model High Propane'!BL13*'Cracker Yields'!$C$12+'Financial Model High Propane'!BL14*'Cracker Yields'!$D$12+'Financial Model High Propane'!BL15*'Cracker Yields'!$E$12</f>
        <v>3984.7713749999998</v>
      </c>
      <c r="BM22" s="408">
        <f>BM12*'Cracker Yields'!$B$12+'Financial Model High Propane'!BM13*'Cracker Yields'!$C$12+'Financial Model High Propane'!BM14*'Cracker Yields'!$D$12+'Financial Model High Propane'!BM15*'Cracker Yields'!$E$12</f>
        <v>3984.7713749999998</v>
      </c>
      <c r="BN22" s="408">
        <f>BN12*'Cracker Yields'!$B$12+'Financial Model High Propane'!BN13*'Cracker Yields'!$C$12+'Financial Model High Propane'!BN14*'Cracker Yields'!$D$12+'Financial Model High Propane'!BN15*'Cracker Yields'!$E$12</f>
        <v>3984.7713749999998</v>
      </c>
      <c r="BO22" s="408">
        <f>BO12*'Cracker Yields'!$B$12+'Financial Model High Propane'!BO13*'Cracker Yields'!$C$12+'Financial Model High Propane'!BO14*'Cracker Yields'!$D$12+'Financial Model High Propane'!BO15*'Cracker Yields'!$E$12</f>
        <v>3984.7713749999998</v>
      </c>
      <c r="BP22" s="408">
        <f>BP12*'Cracker Yields'!$B$12+'Financial Model High Propane'!BP13*'Cracker Yields'!$C$12+'Financial Model High Propane'!BP14*'Cracker Yields'!$D$12+'Financial Model High Propane'!BP15*'Cracker Yields'!$E$12</f>
        <v>3984.7713749999998</v>
      </c>
      <c r="BQ22" s="408">
        <f>BQ12*'Cracker Yields'!$B$12+'Financial Model High Propane'!BQ13*'Cracker Yields'!$C$12+'Financial Model High Propane'!BQ14*'Cracker Yields'!$D$12+'Financial Model High Propane'!BQ15*'Cracker Yields'!$E$12</f>
        <v>3984.7713749999998</v>
      </c>
      <c r="BR22" s="408">
        <f>BR12*'Cracker Yields'!$B$12+'Financial Model High Propane'!BR13*'Cracker Yields'!$C$12+'Financial Model High Propane'!BR14*'Cracker Yields'!$D$12+'Financial Model High Propane'!BR15*'Cracker Yields'!$E$12</f>
        <v>3984.7713749999998</v>
      </c>
      <c r="BS22" s="408">
        <f>BS12*'Cracker Yields'!$B$12+'Financial Model High Propane'!BS13*'Cracker Yields'!$C$12+'Financial Model High Propane'!BS14*'Cracker Yields'!$D$12+'Financial Model High Propane'!BS15*'Cracker Yields'!$E$12</f>
        <v>3984.7713749999998</v>
      </c>
      <c r="BT22" s="408">
        <f>BT12*'Cracker Yields'!$B$12+'Financial Model High Propane'!BT13*'Cracker Yields'!$C$12+'Financial Model High Propane'!BT14*'Cracker Yields'!$D$12+'Financial Model High Propane'!BT15*'Cracker Yields'!$E$12</f>
        <v>3984.7713749999998</v>
      </c>
      <c r="BU22" s="408">
        <f>BU12*'Cracker Yields'!$B$12+'Financial Model High Propane'!BU13*'Cracker Yields'!$C$12+'Financial Model High Propane'!BU14*'Cracker Yields'!$D$12+'Financial Model High Propane'!BU15*'Cracker Yields'!$E$12</f>
        <v>3984.7713749999998</v>
      </c>
      <c r="BV22" s="408">
        <f>BV12*'Cracker Yields'!$B$12+'Financial Model High Propane'!BV13*'Cracker Yields'!$C$12+'Financial Model High Propane'!BV14*'Cracker Yields'!$D$12+'Financial Model High Propane'!BV15*'Cracker Yields'!$E$12</f>
        <v>3984.7713749999998</v>
      </c>
      <c r="BW22" s="408">
        <f>BW12*'Cracker Yields'!$B$12+'Financial Model High Propane'!BW13*'Cracker Yields'!$C$12+'Financial Model High Propane'!BW14*'Cracker Yields'!$D$12+'Financial Model High Propane'!BW15*'Cracker Yields'!$E$12</f>
        <v>3984.7713749999998</v>
      </c>
      <c r="BX22" s="408">
        <f>BX12*'Cracker Yields'!$B$12+'Financial Model High Propane'!BX13*'Cracker Yields'!$C$12+'Financial Model High Propane'!BX14*'Cracker Yields'!$D$12+'Financial Model High Propane'!BX15*'Cracker Yields'!$E$12</f>
        <v>3984.7713749999998</v>
      </c>
      <c r="BY22" s="408">
        <f>BY12*'Cracker Yields'!$B$12+'Financial Model High Propane'!BY13*'Cracker Yields'!$C$12+'Financial Model High Propane'!BY14*'Cracker Yields'!$D$12+'Financial Model High Propane'!BY15*'Cracker Yields'!$E$12</f>
        <v>3984.7713749999998</v>
      </c>
      <c r="BZ22" s="408">
        <f>BZ12*'Cracker Yields'!$B$12+'Financial Model High Propane'!BZ13*'Cracker Yields'!$C$12+'Financial Model High Propane'!BZ14*'Cracker Yields'!$D$12+'Financial Model High Propane'!BZ15*'Cracker Yields'!$E$12</f>
        <v>3984.7713749999998</v>
      </c>
      <c r="CA22" s="408">
        <f>CA12*'Cracker Yields'!$B$12+'Financial Model High Propane'!CA13*'Cracker Yields'!$C$12+'Financial Model High Propane'!CA14*'Cracker Yields'!$D$12+'Financial Model High Propane'!CA15*'Cracker Yields'!$E$12</f>
        <v>3984.7713749999998</v>
      </c>
      <c r="CB22" s="408">
        <f>CB12*'Cracker Yields'!$B$12+'Financial Model High Propane'!CB13*'Cracker Yields'!$C$12+'Financial Model High Propane'!CB14*'Cracker Yields'!$D$12+'Financial Model High Propane'!CB15*'Cracker Yields'!$E$12</f>
        <v>3984.7713749999998</v>
      </c>
      <c r="CC22" s="408">
        <f>CC12*'Cracker Yields'!$B$12+'Financial Model High Propane'!CC13*'Cracker Yields'!$C$12+'Financial Model High Propane'!CC14*'Cracker Yields'!$D$12+'Financial Model High Propane'!CC15*'Cracker Yields'!$E$12</f>
        <v>3984.7713749999998</v>
      </c>
      <c r="CD22" s="408">
        <f>CD12*'Cracker Yields'!$B$12+'Financial Model High Propane'!CD13*'Cracker Yields'!$C$12+'Financial Model High Propane'!CD14*'Cracker Yields'!$D$12+'Financial Model High Propane'!CD15*'Cracker Yields'!$E$12</f>
        <v>3984.7713749999998</v>
      </c>
      <c r="CE22" s="408">
        <f>CE12*'Cracker Yields'!$B$12+'Financial Model High Propane'!CE13*'Cracker Yields'!$C$12+'Financial Model High Propane'!CE14*'Cracker Yields'!$D$12+'Financial Model High Propane'!CE15*'Cracker Yields'!$E$12</f>
        <v>3984.7713749999998</v>
      </c>
      <c r="CF22" s="408">
        <f>CF12*'Cracker Yields'!$B$12+'Financial Model High Propane'!CF13*'Cracker Yields'!$C$12+'Financial Model High Propane'!CF14*'Cracker Yields'!$D$12+'Financial Model High Propane'!CF15*'Cracker Yields'!$E$12</f>
        <v>3984.7713749999998</v>
      </c>
      <c r="CG22" s="408">
        <f>CG12*'Cracker Yields'!$B$12+'Financial Model High Propane'!CG13*'Cracker Yields'!$C$12+'Financial Model High Propane'!CG14*'Cracker Yields'!$D$12+'Financial Model High Propane'!CG15*'Cracker Yields'!$E$12</f>
        <v>3984.7713749999998</v>
      </c>
      <c r="CH22" s="408">
        <f>CH12*'Cracker Yields'!$B$12+'Financial Model High Propane'!CH13*'Cracker Yields'!$C$12+'Financial Model High Propane'!CH14*'Cracker Yields'!$D$12+'Financial Model High Propane'!CH15*'Cracker Yields'!$E$12</f>
        <v>3984.7713749999998</v>
      </c>
      <c r="CI22" s="408">
        <f>CI12*'Cracker Yields'!$B$12+'Financial Model High Propane'!CI13*'Cracker Yields'!$C$12+'Financial Model High Propane'!CI14*'Cracker Yields'!$D$12+'Financial Model High Propane'!CI15*'Cracker Yields'!$E$12</f>
        <v>3984.7713749999998</v>
      </c>
      <c r="CJ22" s="408">
        <f>CJ12*'Cracker Yields'!$B$12+'Financial Model High Propane'!CJ13*'Cracker Yields'!$C$12+'Financial Model High Propane'!CJ14*'Cracker Yields'!$D$12+'Financial Model High Propane'!CJ15*'Cracker Yields'!$E$12</f>
        <v>3984.7713749999998</v>
      </c>
      <c r="CK22" s="408">
        <f>CK12*'Cracker Yields'!$B$12+'Financial Model High Propane'!CK13*'Cracker Yields'!$C$12+'Financial Model High Propane'!CK14*'Cracker Yields'!$D$12+'Financial Model High Propane'!CK15*'Cracker Yields'!$E$12</f>
        <v>3984.7713749999998</v>
      </c>
      <c r="CL22" s="408">
        <f>CL12*'Cracker Yields'!$B$12+'Financial Model High Propane'!CL13*'Cracker Yields'!$C$12+'Financial Model High Propane'!CL14*'Cracker Yields'!$D$12+'Financial Model High Propane'!CL15*'Cracker Yields'!$E$12</f>
        <v>3984.7713749999998</v>
      </c>
      <c r="CM22" s="42">
        <f t="shared" si="1"/>
        <v>3984.7713750000057</v>
      </c>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c r="EB22" s="58"/>
      <c r="EC22" s="58"/>
      <c r="ED22" s="58"/>
      <c r="EE22" s="58"/>
      <c r="EF22" s="58"/>
      <c r="EG22" s="58"/>
      <c r="EH22" s="58"/>
      <c r="EI22" s="58"/>
      <c r="EJ22" s="58"/>
      <c r="EK22" s="58"/>
      <c r="EL22" s="58"/>
      <c r="EM22" s="58"/>
      <c r="EN22" s="58"/>
      <c r="EO22" s="58"/>
      <c r="EP22" s="58"/>
      <c r="EQ22" s="58"/>
      <c r="ER22" s="58"/>
      <c r="ES22" s="58"/>
      <c r="ET22" s="58"/>
      <c r="EU22" s="58"/>
      <c r="EV22" s="58"/>
      <c r="EW22" s="58"/>
      <c r="EX22" s="58"/>
      <c r="EY22" s="58"/>
      <c r="EZ22" s="58"/>
      <c r="FA22" s="58"/>
      <c r="FB22" s="58"/>
      <c r="FC22" s="58"/>
      <c r="FD22" s="58"/>
      <c r="FE22" s="58"/>
      <c r="FF22" s="58"/>
      <c r="FG22" s="58"/>
      <c r="FH22" s="58"/>
      <c r="FI22" s="58"/>
      <c r="FJ22" s="58"/>
      <c r="FK22" s="58"/>
      <c r="FL22" s="58"/>
      <c r="FM22" s="58"/>
      <c r="FN22" s="58"/>
      <c r="FO22" s="58"/>
      <c r="FP22" s="58"/>
      <c r="FQ22" s="58"/>
      <c r="FR22" s="58"/>
      <c r="FS22" s="58"/>
      <c r="FT22" s="58"/>
      <c r="FU22" s="58"/>
      <c r="FV22" s="58"/>
    </row>
    <row r="23" spans="1:178">
      <c r="A23" s="1058" t="s">
        <v>317</v>
      </c>
      <c r="B23" s="2" t="s">
        <v>312</v>
      </c>
      <c r="C23" s="362" t="s">
        <v>313</v>
      </c>
      <c r="D23" s="362">
        <v>27.86</v>
      </c>
      <c r="E23" s="58"/>
      <c r="F23" s="382" t="s">
        <v>170</v>
      </c>
      <c r="G23" s="410">
        <f>$D$23*G16/1000</f>
        <v>3128.7518710369814</v>
      </c>
      <c r="H23" s="410">
        <f t="shared" ref="H23:BS23" si="2">$D$23*H16/1000</f>
        <v>3128.7518710369814</v>
      </c>
      <c r="I23" s="410">
        <f t="shared" si="2"/>
        <v>3128.7518710369814</v>
      </c>
      <c r="J23" s="410">
        <f t="shared" si="2"/>
        <v>3128.7518710369814</v>
      </c>
      <c r="K23" s="410">
        <f t="shared" si="2"/>
        <v>3128.7518710369814</v>
      </c>
      <c r="L23" s="410">
        <f t="shared" si="2"/>
        <v>3128.7518710369814</v>
      </c>
      <c r="M23" s="410">
        <f t="shared" si="2"/>
        <v>3128.7518710369814</v>
      </c>
      <c r="N23" s="410">
        <f t="shared" si="2"/>
        <v>3128.7518710369814</v>
      </c>
      <c r="O23" s="410">
        <f t="shared" si="2"/>
        <v>3128.7518710369814</v>
      </c>
      <c r="P23" s="410">
        <f t="shared" si="2"/>
        <v>3128.7518710369814</v>
      </c>
      <c r="Q23" s="410">
        <f t="shared" si="2"/>
        <v>3128.7518710369814</v>
      </c>
      <c r="R23" s="410">
        <f t="shared" si="2"/>
        <v>3128.7518710369814</v>
      </c>
      <c r="S23" s="410">
        <f t="shared" si="2"/>
        <v>3128.7518710369814</v>
      </c>
      <c r="T23" s="410">
        <f t="shared" si="2"/>
        <v>3128.7518710369814</v>
      </c>
      <c r="U23" s="410">
        <f t="shared" si="2"/>
        <v>3128.7518710369814</v>
      </c>
      <c r="V23" s="410">
        <f t="shared" si="2"/>
        <v>3128.7518710369814</v>
      </c>
      <c r="W23" s="410">
        <f t="shared" si="2"/>
        <v>3128.7518710369814</v>
      </c>
      <c r="X23" s="410">
        <f t="shared" si="2"/>
        <v>3128.7518710369814</v>
      </c>
      <c r="Y23" s="410">
        <f t="shared" si="2"/>
        <v>3128.7518710369814</v>
      </c>
      <c r="Z23" s="410">
        <f t="shared" si="2"/>
        <v>3128.7518710369814</v>
      </c>
      <c r="AA23" s="410">
        <f t="shared" si="2"/>
        <v>3128.7518710369814</v>
      </c>
      <c r="AB23" s="410">
        <f t="shared" si="2"/>
        <v>3128.7518710369814</v>
      </c>
      <c r="AC23" s="410">
        <f t="shared" si="2"/>
        <v>3128.7518710369814</v>
      </c>
      <c r="AD23" s="410">
        <f t="shared" si="2"/>
        <v>3128.7518710369814</v>
      </c>
      <c r="AE23" s="410">
        <f t="shared" si="2"/>
        <v>3128.7518710369814</v>
      </c>
      <c r="AF23" s="410">
        <f t="shared" si="2"/>
        <v>3128.7518710369814</v>
      </c>
      <c r="AG23" s="410">
        <f t="shared" si="2"/>
        <v>3128.7518710369814</v>
      </c>
      <c r="AH23" s="410">
        <f t="shared" si="2"/>
        <v>3128.7518710369814</v>
      </c>
      <c r="AI23" s="410">
        <f t="shared" si="2"/>
        <v>3128.7518710369814</v>
      </c>
      <c r="AJ23" s="410">
        <f t="shared" si="2"/>
        <v>3128.7518710369814</v>
      </c>
      <c r="AK23" s="410">
        <f t="shared" si="2"/>
        <v>3128.7518710369814</v>
      </c>
      <c r="AL23" s="410">
        <f t="shared" si="2"/>
        <v>3128.7518710369814</v>
      </c>
      <c r="AM23" s="410">
        <f t="shared" si="2"/>
        <v>3128.7518710369814</v>
      </c>
      <c r="AN23" s="410">
        <f t="shared" si="2"/>
        <v>3128.7518710369814</v>
      </c>
      <c r="AO23" s="410">
        <f t="shared" si="2"/>
        <v>3128.7518710369814</v>
      </c>
      <c r="AP23" s="410">
        <f t="shared" si="2"/>
        <v>3128.7518710369814</v>
      </c>
      <c r="AQ23" s="410">
        <f t="shared" si="2"/>
        <v>3128.7518710369814</v>
      </c>
      <c r="AR23" s="410">
        <f t="shared" si="2"/>
        <v>3128.7518710369814</v>
      </c>
      <c r="AS23" s="410">
        <f t="shared" si="2"/>
        <v>3128.7518710369814</v>
      </c>
      <c r="AT23" s="410">
        <f t="shared" si="2"/>
        <v>3128.7518710369814</v>
      </c>
      <c r="AU23" s="410">
        <f t="shared" si="2"/>
        <v>3128.7518710369814</v>
      </c>
      <c r="AV23" s="410">
        <f t="shared" si="2"/>
        <v>3128.7518710369814</v>
      </c>
      <c r="AW23" s="410">
        <f t="shared" si="2"/>
        <v>3128.7518710369814</v>
      </c>
      <c r="AX23" s="410">
        <f t="shared" si="2"/>
        <v>3128.7518710369814</v>
      </c>
      <c r="AY23" s="410">
        <f t="shared" si="2"/>
        <v>3128.7518710369814</v>
      </c>
      <c r="AZ23" s="410">
        <f t="shared" si="2"/>
        <v>3128.7518710369814</v>
      </c>
      <c r="BA23" s="410">
        <f t="shared" si="2"/>
        <v>3128.7518710369814</v>
      </c>
      <c r="BB23" s="410">
        <f t="shared" si="2"/>
        <v>3128.7518710369814</v>
      </c>
      <c r="BC23" s="410">
        <f t="shared" si="2"/>
        <v>3128.7518710369814</v>
      </c>
      <c r="BD23" s="410">
        <f t="shared" si="2"/>
        <v>3128.7518710369814</v>
      </c>
      <c r="BE23" s="410">
        <f t="shared" si="2"/>
        <v>3128.7518710369814</v>
      </c>
      <c r="BF23" s="410">
        <f t="shared" si="2"/>
        <v>3128.7518710369814</v>
      </c>
      <c r="BG23" s="410">
        <f t="shared" si="2"/>
        <v>3128.7518710369814</v>
      </c>
      <c r="BH23" s="410">
        <f t="shared" si="2"/>
        <v>3128.7518710369814</v>
      </c>
      <c r="BI23" s="410">
        <f t="shared" si="2"/>
        <v>3128.7518710369814</v>
      </c>
      <c r="BJ23" s="410">
        <f t="shared" si="2"/>
        <v>3128.7518710369814</v>
      </c>
      <c r="BK23" s="410">
        <f t="shared" si="2"/>
        <v>3128.7518710369814</v>
      </c>
      <c r="BL23" s="410">
        <f t="shared" si="2"/>
        <v>3128.7518710369814</v>
      </c>
      <c r="BM23" s="410">
        <f t="shared" si="2"/>
        <v>3128.7518710369814</v>
      </c>
      <c r="BN23" s="410">
        <f t="shared" si="2"/>
        <v>3128.7518710369814</v>
      </c>
      <c r="BO23" s="410">
        <f t="shared" si="2"/>
        <v>3128.7518710369814</v>
      </c>
      <c r="BP23" s="410">
        <f t="shared" si="2"/>
        <v>3128.7518710369814</v>
      </c>
      <c r="BQ23" s="410">
        <f t="shared" si="2"/>
        <v>3128.7518710369814</v>
      </c>
      <c r="BR23" s="410">
        <f t="shared" si="2"/>
        <v>3128.7518710369814</v>
      </c>
      <c r="BS23" s="410">
        <f t="shared" si="2"/>
        <v>3128.7518710369814</v>
      </c>
      <c r="BT23" s="410">
        <f t="shared" ref="BT23:CM23" si="3">$D$23*BT16/1000</f>
        <v>3128.7518710369814</v>
      </c>
      <c r="BU23" s="410">
        <f t="shared" si="3"/>
        <v>3128.7518710369814</v>
      </c>
      <c r="BV23" s="410">
        <f t="shared" si="3"/>
        <v>3128.7518710369814</v>
      </c>
      <c r="BW23" s="410">
        <f t="shared" si="3"/>
        <v>3128.7518710369814</v>
      </c>
      <c r="BX23" s="410">
        <f t="shared" si="3"/>
        <v>3128.7518710369814</v>
      </c>
      <c r="BY23" s="410">
        <f t="shared" si="3"/>
        <v>3128.7518710369814</v>
      </c>
      <c r="BZ23" s="410">
        <f t="shared" si="3"/>
        <v>3128.7518710369814</v>
      </c>
      <c r="CA23" s="410">
        <f t="shared" si="3"/>
        <v>3128.7518710369814</v>
      </c>
      <c r="CB23" s="410">
        <f t="shared" si="3"/>
        <v>3128.7518710369814</v>
      </c>
      <c r="CC23" s="410">
        <f t="shared" si="3"/>
        <v>3128.7518710369814</v>
      </c>
      <c r="CD23" s="410">
        <f t="shared" si="3"/>
        <v>3128.7518710369814</v>
      </c>
      <c r="CE23" s="410">
        <f t="shared" si="3"/>
        <v>3128.7518710369814</v>
      </c>
      <c r="CF23" s="410">
        <f t="shared" si="3"/>
        <v>3128.7518710369814</v>
      </c>
      <c r="CG23" s="410">
        <f t="shared" si="3"/>
        <v>3128.7518710369814</v>
      </c>
      <c r="CH23" s="410">
        <f t="shared" si="3"/>
        <v>3128.7518710369814</v>
      </c>
      <c r="CI23" s="410">
        <f t="shared" si="3"/>
        <v>3128.7518710369814</v>
      </c>
      <c r="CJ23" s="410">
        <f t="shared" si="3"/>
        <v>3128.7518710369814</v>
      </c>
      <c r="CK23" s="410">
        <f t="shared" si="3"/>
        <v>3128.7518710369814</v>
      </c>
      <c r="CL23" s="410">
        <f t="shared" si="3"/>
        <v>3128.7518710369814</v>
      </c>
      <c r="CM23" s="410">
        <f t="shared" si="3"/>
        <v>3128.7518710369814</v>
      </c>
      <c r="CN23" s="58"/>
      <c r="CO23" s="58"/>
      <c r="CP23" s="58"/>
      <c r="CQ23" s="58"/>
      <c r="CR23" s="58"/>
      <c r="CS23" s="58"/>
      <c r="CT23" s="58"/>
      <c r="CU23" s="58"/>
      <c r="CV23" s="58"/>
      <c r="CW23" s="58"/>
      <c r="CX23" s="58"/>
      <c r="CY23" s="58"/>
      <c r="CZ23" s="58"/>
      <c r="DA23" s="58"/>
      <c r="DB23" s="58"/>
      <c r="DC23" s="58"/>
      <c r="DD23" s="58"/>
      <c r="DE23" s="58"/>
      <c r="DF23" s="58"/>
      <c r="DG23" s="58"/>
      <c r="DH23" s="58"/>
      <c r="DI23" s="58"/>
      <c r="DJ23" s="58"/>
      <c r="DK23" s="58"/>
      <c r="DL23" s="58"/>
      <c r="DM23" s="58"/>
      <c r="DN23" s="58"/>
      <c r="DO23" s="58"/>
      <c r="DP23" s="58"/>
      <c r="DQ23" s="58"/>
      <c r="DR23" s="58"/>
      <c r="DS23" s="58"/>
      <c r="DT23" s="58"/>
      <c r="DU23" s="58"/>
      <c r="DV23" s="58"/>
      <c r="DW23" s="58"/>
      <c r="DX23" s="58"/>
      <c r="DY23" s="58"/>
      <c r="DZ23" s="58"/>
      <c r="EA23" s="58"/>
      <c r="EB23" s="58"/>
      <c r="EC23" s="58"/>
      <c r="ED23" s="58"/>
      <c r="EE23" s="58"/>
      <c r="EF23" s="58"/>
      <c r="EG23" s="58"/>
      <c r="EH23" s="58"/>
      <c r="EI23" s="58"/>
      <c r="EJ23" s="58"/>
      <c r="EK23" s="58"/>
      <c r="EL23" s="58"/>
      <c r="EM23" s="58"/>
      <c r="EN23" s="58"/>
      <c r="EO23" s="58"/>
      <c r="EP23" s="58"/>
      <c r="EQ23" s="58"/>
      <c r="ER23" s="58"/>
      <c r="ES23" s="58"/>
      <c r="ET23" s="58"/>
      <c r="EU23" s="58"/>
      <c r="EV23" s="58"/>
      <c r="EW23" s="58"/>
      <c r="EX23" s="58"/>
      <c r="EY23" s="58"/>
      <c r="EZ23" s="58"/>
      <c r="FA23" s="58"/>
      <c r="FB23" s="58"/>
      <c r="FC23" s="58"/>
      <c r="FD23" s="58"/>
      <c r="FE23" s="58"/>
      <c r="FF23" s="58"/>
      <c r="FG23" s="58"/>
      <c r="FH23" s="58"/>
      <c r="FI23" s="58"/>
      <c r="FJ23" s="58"/>
      <c r="FK23" s="58"/>
      <c r="FL23" s="58"/>
      <c r="FM23" s="58"/>
      <c r="FN23" s="58"/>
      <c r="FO23" s="58"/>
      <c r="FP23" s="58"/>
      <c r="FQ23" s="58"/>
      <c r="FR23" s="58"/>
      <c r="FS23" s="58"/>
      <c r="FT23" s="58"/>
      <c r="FU23" s="58"/>
      <c r="FV23" s="58"/>
    </row>
    <row r="24" spans="1:178">
      <c r="A24" s="1058"/>
      <c r="B24" s="2" t="s">
        <v>312</v>
      </c>
      <c r="C24" s="362" t="s">
        <v>313</v>
      </c>
      <c r="D24" s="362">
        <v>0.23</v>
      </c>
      <c r="E24" s="58"/>
      <c r="F24" s="382" t="s">
        <v>171</v>
      </c>
      <c r="G24" s="410">
        <f>$D$24*G13</f>
        <v>13359.166666666668</v>
      </c>
      <c r="H24" s="410">
        <f t="shared" ref="H24:BS24" si="4">$D$24*H13</f>
        <v>13359.166666666668</v>
      </c>
      <c r="I24" s="410">
        <f t="shared" si="4"/>
        <v>13359.166666666668</v>
      </c>
      <c r="J24" s="410">
        <f t="shared" si="4"/>
        <v>13359.166666666668</v>
      </c>
      <c r="K24" s="410">
        <f t="shared" si="4"/>
        <v>13359.166666666668</v>
      </c>
      <c r="L24" s="410">
        <f t="shared" si="4"/>
        <v>13359.166666666668</v>
      </c>
      <c r="M24" s="410">
        <f t="shared" si="4"/>
        <v>13359.166666666668</v>
      </c>
      <c r="N24" s="410">
        <f t="shared" si="4"/>
        <v>13359.166666666668</v>
      </c>
      <c r="O24" s="410">
        <f t="shared" si="4"/>
        <v>13359.166666666668</v>
      </c>
      <c r="P24" s="410">
        <f t="shared" si="4"/>
        <v>13359.166666666668</v>
      </c>
      <c r="Q24" s="410">
        <f t="shared" si="4"/>
        <v>13359.166666666668</v>
      </c>
      <c r="R24" s="410">
        <f t="shared" si="4"/>
        <v>13359.166666666668</v>
      </c>
      <c r="S24" s="410">
        <f t="shared" si="4"/>
        <v>13359.166666666668</v>
      </c>
      <c r="T24" s="410">
        <f t="shared" si="4"/>
        <v>13359.166666666668</v>
      </c>
      <c r="U24" s="410">
        <f t="shared" si="4"/>
        <v>13359.166666666668</v>
      </c>
      <c r="V24" s="410">
        <f t="shared" si="4"/>
        <v>13359.166666666668</v>
      </c>
      <c r="W24" s="410">
        <f t="shared" si="4"/>
        <v>13359.166666666668</v>
      </c>
      <c r="X24" s="410">
        <f t="shared" si="4"/>
        <v>13359.166666666668</v>
      </c>
      <c r="Y24" s="410">
        <f t="shared" si="4"/>
        <v>13359.166666666668</v>
      </c>
      <c r="Z24" s="410">
        <f t="shared" si="4"/>
        <v>13359.166666666668</v>
      </c>
      <c r="AA24" s="410">
        <f t="shared" si="4"/>
        <v>13359.166666666668</v>
      </c>
      <c r="AB24" s="410">
        <f t="shared" si="4"/>
        <v>13359.166666666668</v>
      </c>
      <c r="AC24" s="410">
        <f t="shared" si="4"/>
        <v>13359.166666666668</v>
      </c>
      <c r="AD24" s="410">
        <f t="shared" si="4"/>
        <v>13359.166666666668</v>
      </c>
      <c r="AE24" s="410">
        <f t="shared" si="4"/>
        <v>13359.166666666668</v>
      </c>
      <c r="AF24" s="410">
        <f t="shared" si="4"/>
        <v>13359.166666666668</v>
      </c>
      <c r="AG24" s="410">
        <f t="shared" si="4"/>
        <v>13359.166666666668</v>
      </c>
      <c r="AH24" s="410">
        <f t="shared" si="4"/>
        <v>13359.166666666668</v>
      </c>
      <c r="AI24" s="410">
        <f t="shared" si="4"/>
        <v>13359.166666666668</v>
      </c>
      <c r="AJ24" s="410">
        <f t="shared" si="4"/>
        <v>13359.166666666668</v>
      </c>
      <c r="AK24" s="410">
        <f t="shared" si="4"/>
        <v>13359.166666666668</v>
      </c>
      <c r="AL24" s="410">
        <f t="shared" si="4"/>
        <v>13359.166666666668</v>
      </c>
      <c r="AM24" s="410">
        <f t="shared" si="4"/>
        <v>13359.166666666668</v>
      </c>
      <c r="AN24" s="410">
        <f t="shared" si="4"/>
        <v>13359.166666666668</v>
      </c>
      <c r="AO24" s="410">
        <f t="shared" si="4"/>
        <v>13359.166666666668</v>
      </c>
      <c r="AP24" s="410">
        <f t="shared" si="4"/>
        <v>13359.166666666668</v>
      </c>
      <c r="AQ24" s="410">
        <f t="shared" si="4"/>
        <v>13359.166666666668</v>
      </c>
      <c r="AR24" s="410">
        <f t="shared" si="4"/>
        <v>13359.166666666668</v>
      </c>
      <c r="AS24" s="410">
        <f t="shared" si="4"/>
        <v>13359.166666666668</v>
      </c>
      <c r="AT24" s="410">
        <f t="shared" si="4"/>
        <v>13359.166666666668</v>
      </c>
      <c r="AU24" s="410">
        <f t="shared" si="4"/>
        <v>13359.166666666668</v>
      </c>
      <c r="AV24" s="410">
        <f t="shared" si="4"/>
        <v>13359.166666666668</v>
      </c>
      <c r="AW24" s="410">
        <f t="shared" si="4"/>
        <v>13359.166666666668</v>
      </c>
      <c r="AX24" s="410">
        <f t="shared" si="4"/>
        <v>13359.166666666668</v>
      </c>
      <c r="AY24" s="410">
        <f t="shared" si="4"/>
        <v>13359.166666666668</v>
      </c>
      <c r="AZ24" s="410">
        <f t="shared" si="4"/>
        <v>13359.166666666668</v>
      </c>
      <c r="BA24" s="410">
        <f t="shared" si="4"/>
        <v>13359.166666666668</v>
      </c>
      <c r="BB24" s="410">
        <f t="shared" si="4"/>
        <v>13359.166666666668</v>
      </c>
      <c r="BC24" s="410">
        <f t="shared" si="4"/>
        <v>13359.166666666668</v>
      </c>
      <c r="BD24" s="410">
        <f t="shared" si="4"/>
        <v>13359.166666666668</v>
      </c>
      <c r="BE24" s="410">
        <f t="shared" si="4"/>
        <v>13359.166666666668</v>
      </c>
      <c r="BF24" s="410">
        <f t="shared" si="4"/>
        <v>13359.166666666668</v>
      </c>
      <c r="BG24" s="410">
        <f t="shared" si="4"/>
        <v>13359.166666666668</v>
      </c>
      <c r="BH24" s="410">
        <f t="shared" si="4"/>
        <v>13359.166666666668</v>
      </c>
      <c r="BI24" s="410">
        <f t="shared" si="4"/>
        <v>13359.166666666668</v>
      </c>
      <c r="BJ24" s="410">
        <f t="shared" si="4"/>
        <v>13359.166666666668</v>
      </c>
      <c r="BK24" s="410">
        <f t="shared" si="4"/>
        <v>13359.166666666668</v>
      </c>
      <c r="BL24" s="410">
        <f t="shared" si="4"/>
        <v>13359.166666666668</v>
      </c>
      <c r="BM24" s="410">
        <f t="shared" si="4"/>
        <v>13359.166666666668</v>
      </c>
      <c r="BN24" s="410">
        <f t="shared" si="4"/>
        <v>13359.166666666668</v>
      </c>
      <c r="BO24" s="410">
        <f t="shared" si="4"/>
        <v>13359.166666666668</v>
      </c>
      <c r="BP24" s="410">
        <f t="shared" si="4"/>
        <v>13359.166666666668</v>
      </c>
      <c r="BQ24" s="410">
        <f t="shared" si="4"/>
        <v>13359.166666666668</v>
      </c>
      <c r="BR24" s="410">
        <f t="shared" si="4"/>
        <v>13359.166666666668</v>
      </c>
      <c r="BS24" s="410">
        <f t="shared" si="4"/>
        <v>13359.166666666668</v>
      </c>
      <c r="BT24" s="410">
        <f t="shared" ref="BT24:CM24" si="5">$D$24*BT13</f>
        <v>13359.166666666668</v>
      </c>
      <c r="BU24" s="410">
        <f t="shared" si="5"/>
        <v>13359.166666666668</v>
      </c>
      <c r="BV24" s="410">
        <f t="shared" si="5"/>
        <v>13359.166666666668</v>
      </c>
      <c r="BW24" s="410">
        <f t="shared" si="5"/>
        <v>13359.166666666668</v>
      </c>
      <c r="BX24" s="410">
        <f t="shared" si="5"/>
        <v>13359.166666666668</v>
      </c>
      <c r="BY24" s="410">
        <f t="shared" si="5"/>
        <v>13359.166666666668</v>
      </c>
      <c r="BZ24" s="410">
        <f t="shared" si="5"/>
        <v>13359.166666666668</v>
      </c>
      <c r="CA24" s="410">
        <f t="shared" si="5"/>
        <v>13359.166666666668</v>
      </c>
      <c r="CB24" s="410">
        <f t="shared" si="5"/>
        <v>13359.166666666668</v>
      </c>
      <c r="CC24" s="410">
        <f t="shared" si="5"/>
        <v>13359.166666666668</v>
      </c>
      <c r="CD24" s="410">
        <f t="shared" si="5"/>
        <v>13359.166666666668</v>
      </c>
      <c r="CE24" s="410">
        <f t="shared" si="5"/>
        <v>13359.166666666668</v>
      </c>
      <c r="CF24" s="410">
        <f t="shared" si="5"/>
        <v>13359.166666666668</v>
      </c>
      <c r="CG24" s="410">
        <f t="shared" si="5"/>
        <v>13359.166666666668</v>
      </c>
      <c r="CH24" s="410">
        <f t="shared" si="5"/>
        <v>13359.166666666668</v>
      </c>
      <c r="CI24" s="410">
        <f t="shared" si="5"/>
        <v>13359.166666666668</v>
      </c>
      <c r="CJ24" s="410">
        <f t="shared" si="5"/>
        <v>13359.166666666668</v>
      </c>
      <c r="CK24" s="410">
        <f t="shared" si="5"/>
        <v>13359.166666666668</v>
      </c>
      <c r="CL24" s="410">
        <f t="shared" si="5"/>
        <v>13359.166666666668</v>
      </c>
      <c r="CM24" s="410">
        <f t="shared" si="5"/>
        <v>13359.16666666667</v>
      </c>
      <c r="CN24" s="58"/>
      <c r="CO24" s="58"/>
      <c r="CP24" s="58"/>
      <c r="CQ24" s="58"/>
      <c r="CR24" s="58"/>
      <c r="CS24" s="58"/>
      <c r="CT24" s="58"/>
      <c r="CU24" s="58"/>
      <c r="CV24" s="58"/>
      <c r="CW24" s="58"/>
      <c r="CX24" s="58"/>
      <c r="CY24" s="58"/>
      <c r="CZ24" s="58"/>
      <c r="DA24" s="58"/>
      <c r="DB24" s="58"/>
      <c r="DC24" s="58"/>
      <c r="DD24" s="58"/>
      <c r="DE24" s="58"/>
      <c r="DF24" s="58"/>
      <c r="DG24" s="58"/>
      <c r="DH24" s="58"/>
      <c r="DI24" s="58"/>
      <c r="DJ24" s="58"/>
      <c r="DK24" s="58"/>
      <c r="DL24" s="58"/>
      <c r="DM24" s="58"/>
      <c r="DN24" s="58"/>
      <c r="DO24" s="58"/>
      <c r="DP24" s="58"/>
      <c r="DQ24" s="58"/>
      <c r="DR24" s="58"/>
      <c r="DS24" s="58"/>
      <c r="DT24" s="58"/>
      <c r="DU24" s="58"/>
      <c r="DV24" s="58"/>
      <c r="DW24" s="58"/>
      <c r="DX24" s="58"/>
      <c r="DY24" s="58"/>
      <c r="DZ24" s="58"/>
      <c r="EA24" s="58"/>
      <c r="EB24" s="58"/>
      <c r="EC24" s="58"/>
      <c r="ED24" s="58"/>
      <c r="EE24" s="58"/>
      <c r="EF24" s="58"/>
      <c r="EG24" s="58"/>
      <c r="EH24" s="58"/>
      <c r="EI24" s="58"/>
      <c r="EJ24" s="58"/>
      <c r="EK24" s="58"/>
      <c r="EL24" s="58"/>
      <c r="EM24" s="58"/>
      <c r="EN24" s="58"/>
      <c r="EO24" s="58"/>
      <c r="EP24" s="58"/>
      <c r="EQ24" s="58"/>
      <c r="ER24" s="58"/>
      <c r="ES24" s="58"/>
      <c r="ET24" s="58"/>
      <c r="EU24" s="58"/>
      <c r="EV24" s="58"/>
      <c r="EW24" s="58"/>
      <c r="EX24" s="58"/>
      <c r="EY24" s="58"/>
      <c r="EZ24" s="58"/>
      <c r="FA24" s="58"/>
      <c r="FB24" s="58"/>
      <c r="FC24" s="58"/>
      <c r="FD24" s="58"/>
      <c r="FE24" s="58"/>
      <c r="FF24" s="58"/>
      <c r="FG24" s="58"/>
      <c r="FH24" s="58"/>
      <c r="FI24" s="58"/>
      <c r="FJ24" s="58"/>
      <c r="FK24" s="58"/>
      <c r="FL24" s="58"/>
      <c r="FM24" s="58"/>
      <c r="FN24" s="58"/>
      <c r="FO24" s="58"/>
      <c r="FP24" s="58"/>
      <c r="FQ24" s="58"/>
      <c r="FR24" s="58"/>
      <c r="FS24" s="58"/>
      <c r="FT24" s="58"/>
      <c r="FU24" s="58"/>
      <c r="FV24" s="58"/>
    </row>
    <row r="25" spans="1:178">
      <c r="A25" s="1058"/>
      <c r="B25" s="2" t="s">
        <v>312</v>
      </c>
      <c r="C25" s="362" t="s">
        <v>313</v>
      </c>
      <c r="D25" s="362">
        <v>0.26500000000000001</v>
      </c>
      <c r="E25" s="58"/>
      <c r="F25" s="382" t="s">
        <v>172</v>
      </c>
      <c r="G25" s="410">
        <f>$D$25*G14</f>
        <v>3003.3333333333335</v>
      </c>
      <c r="H25" s="410">
        <f t="shared" ref="H25:BS25" si="6">$D$25*H14</f>
        <v>3003.3333333333335</v>
      </c>
      <c r="I25" s="410">
        <f t="shared" si="6"/>
        <v>3003.3333333333335</v>
      </c>
      <c r="J25" s="410">
        <f t="shared" si="6"/>
        <v>3003.3333333333335</v>
      </c>
      <c r="K25" s="410">
        <f t="shared" si="6"/>
        <v>3003.3333333333335</v>
      </c>
      <c r="L25" s="410">
        <f t="shared" si="6"/>
        <v>3003.3333333333335</v>
      </c>
      <c r="M25" s="410">
        <f t="shared" si="6"/>
        <v>3003.3333333333335</v>
      </c>
      <c r="N25" s="410">
        <f t="shared" si="6"/>
        <v>3003.3333333333335</v>
      </c>
      <c r="O25" s="410">
        <f t="shared" si="6"/>
        <v>3003.3333333333335</v>
      </c>
      <c r="P25" s="410">
        <f t="shared" si="6"/>
        <v>3003.3333333333335</v>
      </c>
      <c r="Q25" s="410">
        <f t="shared" si="6"/>
        <v>3003.3333333333335</v>
      </c>
      <c r="R25" s="410">
        <f t="shared" si="6"/>
        <v>3003.3333333333335</v>
      </c>
      <c r="S25" s="410">
        <f t="shared" si="6"/>
        <v>3003.3333333333335</v>
      </c>
      <c r="T25" s="410">
        <f t="shared" si="6"/>
        <v>3003.3333333333335</v>
      </c>
      <c r="U25" s="410">
        <f t="shared" si="6"/>
        <v>3003.3333333333335</v>
      </c>
      <c r="V25" s="410">
        <f t="shared" si="6"/>
        <v>3003.3333333333335</v>
      </c>
      <c r="W25" s="410">
        <f t="shared" si="6"/>
        <v>3003.3333333333335</v>
      </c>
      <c r="X25" s="410">
        <f t="shared" si="6"/>
        <v>3003.3333333333335</v>
      </c>
      <c r="Y25" s="410">
        <f t="shared" si="6"/>
        <v>3003.3333333333335</v>
      </c>
      <c r="Z25" s="410">
        <f t="shared" si="6"/>
        <v>3003.3333333333335</v>
      </c>
      <c r="AA25" s="410">
        <f t="shared" si="6"/>
        <v>3003.3333333333335</v>
      </c>
      <c r="AB25" s="410">
        <f t="shared" si="6"/>
        <v>3003.3333333333335</v>
      </c>
      <c r="AC25" s="410">
        <f t="shared" si="6"/>
        <v>3003.3333333333335</v>
      </c>
      <c r="AD25" s="410">
        <f t="shared" si="6"/>
        <v>3003.3333333333335</v>
      </c>
      <c r="AE25" s="410">
        <f t="shared" si="6"/>
        <v>3003.3333333333335</v>
      </c>
      <c r="AF25" s="410">
        <f t="shared" si="6"/>
        <v>3003.3333333333335</v>
      </c>
      <c r="AG25" s="410">
        <f t="shared" si="6"/>
        <v>3003.3333333333335</v>
      </c>
      <c r="AH25" s="410">
        <f t="shared" si="6"/>
        <v>3003.3333333333335</v>
      </c>
      <c r="AI25" s="410">
        <f t="shared" si="6"/>
        <v>3003.3333333333335</v>
      </c>
      <c r="AJ25" s="410">
        <f t="shared" si="6"/>
        <v>3003.3333333333335</v>
      </c>
      <c r="AK25" s="410">
        <f t="shared" si="6"/>
        <v>3003.3333333333335</v>
      </c>
      <c r="AL25" s="410">
        <f t="shared" si="6"/>
        <v>3003.3333333333335</v>
      </c>
      <c r="AM25" s="410">
        <f t="shared" si="6"/>
        <v>3003.3333333333335</v>
      </c>
      <c r="AN25" s="410">
        <f t="shared" si="6"/>
        <v>3003.3333333333335</v>
      </c>
      <c r="AO25" s="410">
        <f t="shared" si="6"/>
        <v>3003.3333333333335</v>
      </c>
      <c r="AP25" s="410">
        <f t="shared" si="6"/>
        <v>3003.3333333333335</v>
      </c>
      <c r="AQ25" s="410">
        <f t="shared" si="6"/>
        <v>3003.3333333333335</v>
      </c>
      <c r="AR25" s="410">
        <f t="shared" si="6"/>
        <v>3003.3333333333335</v>
      </c>
      <c r="AS25" s="410">
        <f t="shared" si="6"/>
        <v>3003.3333333333335</v>
      </c>
      <c r="AT25" s="410">
        <f t="shared" si="6"/>
        <v>3003.3333333333335</v>
      </c>
      <c r="AU25" s="410">
        <f t="shared" si="6"/>
        <v>3003.3333333333335</v>
      </c>
      <c r="AV25" s="410">
        <f t="shared" si="6"/>
        <v>3003.3333333333335</v>
      </c>
      <c r="AW25" s="410">
        <f t="shared" si="6"/>
        <v>3003.3333333333335</v>
      </c>
      <c r="AX25" s="410">
        <f t="shared" si="6"/>
        <v>3003.3333333333335</v>
      </c>
      <c r="AY25" s="410">
        <f t="shared" si="6"/>
        <v>3003.3333333333335</v>
      </c>
      <c r="AZ25" s="410">
        <f t="shared" si="6"/>
        <v>3003.3333333333335</v>
      </c>
      <c r="BA25" s="410">
        <f t="shared" si="6"/>
        <v>3003.3333333333335</v>
      </c>
      <c r="BB25" s="410">
        <f t="shared" si="6"/>
        <v>3003.3333333333335</v>
      </c>
      <c r="BC25" s="410">
        <f t="shared" si="6"/>
        <v>3003.3333333333335</v>
      </c>
      <c r="BD25" s="410">
        <f t="shared" si="6"/>
        <v>3003.3333333333335</v>
      </c>
      <c r="BE25" s="410">
        <f t="shared" si="6"/>
        <v>3003.3333333333335</v>
      </c>
      <c r="BF25" s="410">
        <f t="shared" si="6"/>
        <v>3003.3333333333335</v>
      </c>
      <c r="BG25" s="410">
        <f t="shared" si="6"/>
        <v>3003.3333333333335</v>
      </c>
      <c r="BH25" s="410">
        <f t="shared" si="6"/>
        <v>3003.3333333333335</v>
      </c>
      <c r="BI25" s="410">
        <f t="shared" si="6"/>
        <v>3003.3333333333335</v>
      </c>
      <c r="BJ25" s="410">
        <f t="shared" si="6"/>
        <v>3003.3333333333335</v>
      </c>
      <c r="BK25" s="410">
        <f t="shared" si="6"/>
        <v>3003.3333333333335</v>
      </c>
      <c r="BL25" s="410">
        <f t="shared" si="6"/>
        <v>3003.3333333333335</v>
      </c>
      <c r="BM25" s="410">
        <f t="shared" si="6"/>
        <v>3003.3333333333335</v>
      </c>
      <c r="BN25" s="410">
        <f t="shared" si="6"/>
        <v>3003.3333333333335</v>
      </c>
      <c r="BO25" s="410">
        <f t="shared" si="6"/>
        <v>3003.3333333333335</v>
      </c>
      <c r="BP25" s="410">
        <f t="shared" si="6"/>
        <v>3003.3333333333335</v>
      </c>
      <c r="BQ25" s="410">
        <f t="shared" si="6"/>
        <v>3003.3333333333335</v>
      </c>
      <c r="BR25" s="410">
        <f t="shared" si="6"/>
        <v>3003.3333333333335</v>
      </c>
      <c r="BS25" s="410">
        <f t="shared" si="6"/>
        <v>3003.3333333333335</v>
      </c>
      <c r="BT25" s="410">
        <f t="shared" ref="BT25:CM25" si="7">$D$25*BT14</f>
        <v>3003.3333333333335</v>
      </c>
      <c r="BU25" s="410">
        <f t="shared" si="7"/>
        <v>3003.3333333333335</v>
      </c>
      <c r="BV25" s="410">
        <f t="shared" si="7"/>
        <v>3003.3333333333335</v>
      </c>
      <c r="BW25" s="410">
        <f t="shared" si="7"/>
        <v>3003.3333333333335</v>
      </c>
      <c r="BX25" s="410">
        <f t="shared" si="7"/>
        <v>3003.3333333333335</v>
      </c>
      <c r="BY25" s="410">
        <f t="shared" si="7"/>
        <v>3003.3333333333335</v>
      </c>
      <c r="BZ25" s="410">
        <f t="shared" si="7"/>
        <v>3003.3333333333335</v>
      </c>
      <c r="CA25" s="410">
        <f t="shared" si="7"/>
        <v>3003.3333333333335</v>
      </c>
      <c r="CB25" s="410">
        <f t="shared" si="7"/>
        <v>3003.3333333333335</v>
      </c>
      <c r="CC25" s="410">
        <f t="shared" si="7"/>
        <v>3003.3333333333335</v>
      </c>
      <c r="CD25" s="410">
        <f t="shared" si="7"/>
        <v>3003.3333333333335</v>
      </c>
      <c r="CE25" s="410">
        <f t="shared" si="7"/>
        <v>3003.3333333333335</v>
      </c>
      <c r="CF25" s="410">
        <f t="shared" si="7"/>
        <v>3003.3333333333335</v>
      </c>
      <c r="CG25" s="410">
        <f t="shared" si="7"/>
        <v>3003.3333333333335</v>
      </c>
      <c r="CH25" s="410">
        <f t="shared" si="7"/>
        <v>3003.3333333333335</v>
      </c>
      <c r="CI25" s="410">
        <f t="shared" si="7"/>
        <v>3003.3333333333335</v>
      </c>
      <c r="CJ25" s="410">
        <f t="shared" si="7"/>
        <v>3003.3333333333335</v>
      </c>
      <c r="CK25" s="410">
        <f t="shared" si="7"/>
        <v>3003.3333333333335</v>
      </c>
      <c r="CL25" s="410">
        <f t="shared" si="7"/>
        <v>3003.3333333333335</v>
      </c>
      <c r="CM25" s="410">
        <f t="shared" si="7"/>
        <v>3003.3333333333335</v>
      </c>
      <c r="CN25" s="58"/>
      <c r="CO25" s="58"/>
      <c r="CP25" s="58"/>
      <c r="CQ25" s="58"/>
      <c r="CR25" s="58"/>
      <c r="CS25" s="58"/>
      <c r="CT25" s="58"/>
      <c r="CU25" s="58"/>
      <c r="CV25" s="58"/>
      <c r="CW25" s="58"/>
      <c r="CX25" s="58"/>
      <c r="CY25" s="58"/>
      <c r="CZ25" s="58"/>
      <c r="DA25" s="58"/>
      <c r="DB25" s="58"/>
      <c r="DC25" s="58"/>
      <c r="DD25" s="58"/>
      <c r="DE25" s="58"/>
      <c r="DF25" s="58"/>
      <c r="DG25" s="58"/>
      <c r="DH25" s="58"/>
      <c r="DI25" s="58"/>
      <c r="DJ25" s="58"/>
      <c r="DK25" s="58"/>
      <c r="DL25" s="58"/>
      <c r="DM25" s="58"/>
      <c r="DN25" s="58"/>
      <c r="DO25" s="58"/>
      <c r="DP25" s="58"/>
      <c r="DQ25" s="58"/>
      <c r="DR25" s="58"/>
      <c r="DS25" s="58"/>
      <c r="DT25" s="58"/>
      <c r="DU25" s="58"/>
      <c r="DV25" s="58"/>
      <c r="DW25" s="58"/>
      <c r="DX25" s="58"/>
      <c r="DY25" s="58"/>
      <c r="DZ25" s="58"/>
      <c r="EA25" s="58"/>
      <c r="EB25" s="58"/>
      <c r="EC25" s="58"/>
      <c r="ED25" s="58"/>
      <c r="EE25" s="58"/>
      <c r="EF25" s="58"/>
      <c r="EG25" s="58"/>
      <c r="EH25" s="58"/>
      <c r="EI25" s="58"/>
      <c r="EJ25" s="58"/>
      <c r="EK25" s="58"/>
      <c r="EL25" s="58"/>
      <c r="EM25" s="58"/>
      <c r="EN25" s="58"/>
      <c r="EO25" s="58"/>
      <c r="EP25" s="58"/>
      <c r="EQ25" s="58"/>
      <c r="ER25" s="58"/>
      <c r="ES25" s="58"/>
      <c r="ET25" s="58"/>
      <c r="EU25" s="58"/>
      <c r="EV25" s="58"/>
      <c r="EW25" s="58"/>
      <c r="EX25" s="58"/>
      <c r="EY25" s="58"/>
      <c r="EZ25" s="58"/>
      <c r="FA25" s="58"/>
      <c r="FB25" s="58"/>
      <c r="FC25" s="58"/>
      <c r="FD25" s="58"/>
      <c r="FE25" s="58"/>
      <c r="FF25" s="58"/>
      <c r="FG25" s="58"/>
      <c r="FH25" s="58"/>
      <c r="FI25" s="58"/>
      <c r="FJ25" s="58"/>
      <c r="FK25" s="58"/>
      <c r="FL25" s="58"/>
      <c r="FM25" s="58"/>
      <c r="FN25" s="58"/>
      <c r="FO25" s="58"/>
      <c r="FP25" s="58"/>
      <c r="FQ25" s="58"/>
      <c r="FR25" s="58"/>
      <c r="FS25" s="58"/>
      <c r="FT25" s="58"/>
      <c r="FU25" s="58"/>
      <c r="FV25" s="58"/>
    </row>
    <row r="26" spans="1:178">
      <c r="A26" s="1058"/>
      <c r="B26" s="2" t="s">
        <v>312</v>
      </c>
      <c r="C26" s="362" t="s">
        <v>313</v>
      </c>
      <c r="D26" s="362">
        <v>0.18049999999999999</v>
      </c>
      <c r="E26" s="58"/>
      <c r="F26" s="382" t="s">
        <v>173</v>
      </c>
      <c r="G26" s="410">
        <f>$D$26*G15</f>
        <v>24232.125</v>
      </c>
      <c r="H26" s="410">
        <f t="shared" ref="H26:BS26" si="8">$D$26*H15</f>
        <v>24232.125</v>
      </c>
      <c r="I26" s="410">
        <f t="shared" si="8"/>
        <v>24232.125</v>
      </c>
      <c r="J26" s="410">
        <f t="shared" si="8"/>
        <v>24232.125</v>
      </c>
      <c r="K26" s="410">
        <f t="shared" si="8"/>
        <v>24232.125</v>
      </c>
      <c r="L26" s="410">
        <f t="shared" si="8"/>
        <v>24232.125</v>
      </c>
      <c r="M26" s="410">
        <f t="shared" si="8"/>
        <v>24232.125</v>
      </c>
      <c r="N26" s="410">
        <f t="shared" si="8"/>
        <v>24232.125</v>
      </c>
      <c r="O26" s="410">
        <f t="shared" si="8"/>
        <v>24232.125</v>
      </c>
      <c r="P26" s="410">
        <f t="shared" si="8"/>
        <v>24232.125</v>
      </c>
      <c r="Q26" s="410">
        <f t="shared" si="8"/>
        <v>24232.125</v>
      </c>
      <c r="R26" s="410">
        <f t="shared" si="8"/>
        <v>24232.125</v>
      </c>
      <c r="S26" s="410">
        <f t="shared" si="8"/>
        <v>24232.125</v>
      </c>
      <c r="T26" s="410">
        <f t="shared" si="8"/>
        <v>24232.125</v>
      </c>
      <c r="U26" s="410">
        <f t="shared" si="8"/>
        <v>24232.125</v>
      </c>
      <c r="V26" s="410">
        <f t="shared" si="8"/>
        <v>24232.125</v>
      </c>
      <c r="W26" s="410">
        <f t="shared" si="8"/>
        <v>24232.125</v>
      </c>
      <c r="X26" s="410">
        <f t="shared" si="8"/>
        <v>24232.125</v>
      </c>
      <c r="Y26" s="410">
        <f t="shared" si="8"/>
        <v>24232.125</v>
      </c>
      <c r="Z26" s="410">
        <f t="shared" si="8"/>
        <v>24232.125</v>
      </c>
      <c r="AA26" s="410">
        <f t="shared" si="8"/>
        <v>24232.125</v>
      </c>
      <c r="AB26" s="410">
        <f t="shared" si="8"/>
        <v>24232.125</v>
      </c>
      <c r="AC26" s="410">
        <f t="shared" si="8"/>
        <v>24232.125</v>
      </c>
      <c r="AD26" s="410">
        <f t="shared" si="8"/>
        <v>24232.125</v>
      </c>
      <c r="AE26" s="410">
        <f t="shared" si="8"/>
        <v>24232.125</v>
      </c>
      <c r="AF26" s="410">
        <f t="shared" si="8"/>
        <v>24232.125</v>
      </c>
      <c r="AG26" s="410">
        <f t="shared" si="8"/>
        <v>24232.125</v>
      </c>
      <c r="AH26" s="410">
        <f t="shared" si="8"/>
        <v>24232.125</v>
      </c>
      <c r="AI26" s="410">
        <f t="shared" si="8"/>
        <v>24232.125</v>
      </c>
      <c r="AJ26" s="410">
        <f t="shared" si="8"/>
        <v>24232.125</v>
      </c>
      <c r="AK26" s="410">
        <f t="shared" si="8"/>
        <v>24232.125</v>
      </c>
      <c r="AL26" s="410">
        <f t="shared" si="8"/>
        <v>24232.125</v>
      </c>
      <c r="AM26" s="410">
        <f t="shared" si="8"/>
        <v>24232.125</v>
      </c>
      <c r="AN26" s="410">
        <f t="shared" si="8"/>
        <v>24232.125</v>
      </c>
      <c r="AO26" s="410">
        <f t="shared" si="8"/>
        <v>24232.125</v>
      </c>
      <c r="AP26" s="410">
        <f t="shared" si="8"/>
        <v>24232.125</v>
      </c>
      <c r="AQ26" s="410">
        <f t="shared" si="8"/>
        <v>24232.125</v>
      </c>
      <c r="AR26" s="410">
        <f t="shared" si="8"/>
        <v>24232.125</v>
      </c>
      <c r="AS26" s="410">
        <f t="shared" si="8"/>
        <v>24232.125</v>
      </c>
      <c r="AT26" s="410">
        <f t="shared" si="8"/>
        <v>24232.125</v>
      </c>
      <c r="AU26" s="410">
        <f t="shared" si="8"/>
        <v>24232.125</v>
      </c>
      <c r="AV26" s="410">
        <f t="shared" si="8"/>
        <v>24232.125</v>
      </c>
      <c r="AW26" s="410">
        <f t="shared" si="8"/>
        <v>24232.125</v>
      </c>
      <c r="AX26" s="410">
        <f t="shared" si="8"/>
        <v>24232.125</v>
      </c>
      <c r="AY26" s="410">
        <f t="shared" si="8"/>
        <v>24232.125</v>
      </c>
      <c r="AZ26" s="410">
        <f t="shared" si="8"/>
        <v>24232.125</v>
      </c>
      <c r="BA26" s="410">
        <f t="shared" si="8"/>
        <v>24232.125</v>
      </c>
      <c r="BB26" s="410">
        <f t="shared" si="8"/>
        <v>24232.125</v>
      </c>
      <c r="BC26" s="410">
        <f t="shared" si="8"/>
        <v>24232.125</v>
      </c>
      <c r="BD26" s="410">
        <f t="shared" si="8"/>
        <v>24232.125</v>
      </c>
      <c r="BE26" s="410">
        <f t="shared" si="8"/>
        <v>24232.125</v>
      </c>
      <c r="BF26" s="410">
        <f t="shared" si="8"/>
        <v>24232.125</v>
      </c>
      <c r="BG26" s="410">
        <f t="shared" si="8"/>
        <v>24232.125</v>
      </c>
      <c r="BH26" s="410">
        <f t="shared" si="8"/>
        <v>24232.125</v>
      </c>
      <c r="BI26" s="410">
        <f t="shared" si="8"/>
        <v>24232.125</v>
      </c>
      <c r="BJ26" s="410">
        <f t="shared" si="8"/>
        <v>24232.125</v>
      </c>
      <c r="BK26" s="410">
        <f t="shared" si="8"/>
        <v>24232.125</v>
      </c>
      <c r="BL26" s="410">
        <f t="shared" si="8"/>
        <v>24232.125</v>
      </c>
      <c r="BM26" s="410">
        <f t="shared" si="8"/>
        <v>24232.125</v>
      </c>
      <c r="BN26" s="410">
        <f t="shared" si="8"/>
        <v>24232.125</v>
      </c>
      <c r="BO26" s="410">
        <f t="shared" si="8"/>
        <v>24232.125</v>
      </c>
      <c r="BP26" s="410">
        <f t="shared" si="8"/>
        <v>24232.125</v>
      </c>
      <c r="BQ26" s="410">
        <f t="shared" si="8"/>
        <v>24232.125</v>
      </c>
      <c r="BR26" s="410">
        <f t="shared" si="8"/>
        <v>24232.125</v>
      </c>
      <c r="BS26" s="410">
        <f t="shared" si="8"/>
        <v>24232.125</v>
      </c>
      <c r="BT26" s="410">
        <f t="shared" ref="BT26:CM26" si="9">$D$26*BT15</f>
        <v>24232.125</v>
      </c>
      <c r="BU26" s="410">
        <f t="shared" si="9"/>
        <v>24232.125</v>
      </c>
      <c r="BV26" s="410">
        <f t="shared" si="9"/>
        <v>24232.125</v>
      </c>
      <c r="BW26" s="410">
        <f t="shared" si="9"/>
        <v>24232.125</v>
      </c>
      <c r="BX26" s="410">
        <f t="shared" si="9"/>
        <v>24232.125</v>
      </c>
      <c r="BY26" s="410">
        <f t="shared" si="9"/>
        <v>24232.125</v>
      </c>
      <c r="BZ26" s="410">
        <f t="shared" si="9"/>
        <v>24232.125</v>
      </c>
      <c r="CA26" s="410">
        <f t="shared" si="9"/>
        <v>24232.125</v>
      </c>
      <c r="CB26" s="410">
        <f t="shared" si="9"/>
        <v>24232.125</v>
      </c>
      <c r="CC26" s="410">
        <f t="shared" si="9"/>
        <v>24232.125</v>
      </c>
      <c r="CD26" s="410">
        <f t="shared" si="9"/>
        <v>24232.125</v>
      </c>
      <c r="CE26" s="410">
        <f t="shared" si="9"/>
        <v>24232.125</v>
      </c>
      <c r="CF26" s="410">
        <f t="shared" si="9"/>
        <v>24232.125</v>
      </c>
      <c r="CG26" s="410">
        <f t="shared" si="9"/>
        <v>24232.125</v>
      </c>
      <c r="CH26" s="410">
        <f t="shared" si="9"/>
        <v>24232.125</v>
      </c>
      <c r="CI26" s="410">
        <f t="shared" si="9"/>
        <v>24232.125</v>
      </c>
      <c r="CJ26" s="410">
        <f t="shared" si="9"/>
        <v>24232.125</v>
      </c>
      <c r="CK26" s="410">
        <f t="shared" si="9"/>
        <v>24232.125</v>
      </c>
      <c r="CL26" s="410">
        <f t="shared" si="9"/>
        <v>24232.125</v>
      </c>
      <c r="CM26" s="410">
        <f t="shared" si="9"/>
        <v>24232.125</v>
      </c>
      <c r="CN26" s="58"/>
      <c r="CO26" s="58"/>
      <c r="CP26" s="58"/>
      <c r="CQ26" s="58"/>
      <c r="CR26" s="58"/>
      <c r="CS26" s="58"/>
      <c r="CT26" s="58"/>
      <c r="CU26" s="58"/>
      <c r="CV26" s="58"/>
      <c r="CW26" s="58"/>
      <c r="CX26" s="58"/>
      <c r="CY26" s="58"/>
      <c r="CZ26" s="58"/>
      <c r="DA26" s="58"/>
      <c r="DB26" s="58"/>
      <c r="DC26" s="58"/>
      <c r="DD26" s="58"/>
      <c r="DE26" s="58"/>
      <c r="DF26" s="58"/>
      <c r="DG26" s="58"/>
      <c r="DH26" s="58"/>
      <c r="DI26" s="58"/>
      <c r="DJ26" s="58"/>
      <c r="DK26" s="58"/>
      <c r="DL26" s="58"/>
      <c r="DM26" s="58"/>
      <c r="DN26" s="58"/>
      <c r="DO26" s="58"/>
      <c r="DP26" s="58"/>
      <c r="DQ26" s="58"/>
      <c r="DR26" s="58"/>
      <c r="DS26" s="58"/>
      <c r="DT26" s="58"/>
      <c r="DU26" s="58"/>
      <c r="DV26" s="58"/>
      <c r="DW26" s="58"/>
      <c r="DX26" s="58"/>
      <c r="DY26" s="58"/>
      <c r="DZ26" s="58"/>
      <c r="EA26" s="58"/>
      <c r="EB26" s="58"/>
      <c r="EC26" s="58"/>
      <c r="ED26" s="58"/>
      <c r="EE26" s="58"/>
      <c r="EF26" s="58"/>
      <c r="EG26" s="58"/>
      <c r="EH26" s="58"/>
      <c r="EI26" s="58"/>
      <c r="EJ26" s="58"/>
      <c r="EK26" s="58"/>
      <c r="EL26" s="58"/>
      <c r="EM26" s="58"/>
      <c r="EN26" s="58"/>
      <c r="EO26" s="58"/>
      <c r="EP26" s="58"/>
      <c r="EQ26" s="58"/>
      <c r="ER26" s="58"/>
      <c r="ES26" s="58"/>
      <c r="ET26" s="58"/>
      <c r="EU26" s="58"/>
      <c r="EV26" s="58"/>
      <c r="EW26" s="58"/>
      <c r="EX26" s="58"/>
      <c r="EY26" s="58"/>
      <c r="EZ26" s="58"/>
      <c r="FA26" s="58"/>
      <c r="FB26" s="58"/>
      <c r="FC26" s="58"/>
      <c r="FD26" s="58"/>
      <c r="FE26" s="58"/>
      <c r="FF26" s="58"/>
      <c r="FG26" s="58"/>
      <c r="FH26" s="58"/>
      <c r="FI26" s="58"/>
      <c r="FJ26" s="58"/>
      <c r="FK26" s="58"/>
      <c r="FL26" s="58"/>
      <c r="FM26" s="58"/>
      <c r="FN26" s="58"/>
      <c r="FO26" s="58"/>
      <c r="FP26" s="58"/>
      <c r="FQ26" s="58"/>
      <c r="FR26" s="58"/>
      <c r="FS26" s="58"/>
      <c r="FT26" s="58"/>
      <c r="FU26" s="58"/>
      <c r="FV26" s="58"/>
    </row>
    <row r="27" spans="1:178">
      <c r="A27" s="1058"/>
      <c r="B27" s="2" t="s">
        <v>312</v>
      </c>
      <c r="C27" s="362" t="s">
        <v>313</v>
      </c>
      <c r="D27" s="362">
        <v>1.8104</v>
      </c>
      <c r="E27" s="58"/>
      <c r="F27" s="382" t="s">
        <v>174</v>
      </c>
      <c r="G27" s="410">
        <f>$D$27*G16</f>
        <v>203312.72029164937</v>
      </c>
      <c r="H27" s="410">
        <f t="shared" ref="H27:BS27" si="10">$D$27*H16</f>
        <v>203312.72029164937</v>
      </c>
      <c r="I27" s="410">
        <f t="shared" si="10"/>
        <v>203312.72029164937</v>
      </c>
      <c r="J27" s="410">
        <f t="shared" si="10"/>
        <v>203312.72029164937</v>
      </c>
      <c r="K27" s="410">
        <f t="shared" si="10"/>
        <v>203312.72029164937</v>
      </c>
      <c r="L27" s="410">
        <f t="shared" si="10"/>
        <v>203312.72029164937</v>
      </c>
      <c r="M27" s="410">
        <f t="shared" si="10"/>
        <v>203312.72029164937</v>
      </c>
      <c r="N27" s="410">
        <f t="shared" si="10"/>
        <v>203312.72029164937</v>
      </c>
      <c r="O27" s="410">
        <f t="shared" si="10"/>
        <v>203312.72029164937</v>
      </c>
      <c r="P27" s="410">
        <f t="shared" si="10"/>
        <v>203312.72029164937</v>
      </c>
      <c r="Q27" s="410">
        <f t="shared" si="10"/>
        <v>203312.72029164937</v>
      </c>
      <c r="R27" s="410">
        <f t="shared" si="10"/>
        <v>203312.72029164937</v>
      </c>
      <c r="S27" s="410">
        <f t="shared" si="10"/>
        <v>203312.72029164937</v>
      </c>
      <c r="T27" s="410">
        <f t="shared" si="10"/>
        <v>203312.72029164937</v>
      </c>
      <c r="U27" s="410">
        <f t="shared" si="10"/>
        <v>203312.72029164937</v>
      </c>
      <c r="V27" s="410">
        <f t="shared" si="10"/>
        <v>203312.72029164937</v>
      </c>
      <c r="W27" s="410">
        <f t="shared" si="10"/>
        <v>203312.72029164937</v>
      </c>
      <c r="X27" s="410">
        <f t="shared" si="10"/>
        <v>203312.72029164937</v>
      </c>
      <c r="Y27" s="410">
        <f t="shared" si="10"/>
        <v>203312.72029164937</v>
      </c>
      <c r="Z27" s="410">
        <f t="shared" si="10"/>
        <v>203312.72029164937</v>
      </c>
      <c r="AA27" s="410">
        <f t="shared" si="10"/>
        <v>203312.72029164937</v>
      </c>
      <c r="AB27" s="410">
        <f t="shared" si="10"/>
        <v>203312.72029164937</v>
      </c>
      <c r="AC27" s="410">
        <f t="shared" si="10"/>
        <v>203312.72029164937</v>
      </c>
      <c r="AD27" s="410">
        <f t="shared" si="10"/>
        <v>203312.72029164937</v>
      </c>
      <c r="AE27" s="410">
        <f t="shared" si="10"/>
        <v>203312.72029164937</v>
      </c>
      <c r="AF27" s="410">
        <f t="shared" si="10"/>
        <v>203312.72029164937</v>
      </c>
      <c r="AG27" s="410">
        <f t="shared" si="10"/>
        <v>203312.72029164937</v>
      </c>
      <c r="AH27" s="410">
        <f t="shared" si="10"/>
        <v>203312.72029164937</v>
      </c>
      <c r="AI27" s="410">
        <f t="shared" si="10"/>
        <v>203312.72029164937</v>
      </c>
      <c r="AJ27" s="410">
        <f t="shared" si="10"/>
        <v>203312.72029164937</v>
      </c>
      <c r="AK27" s="410">
        <f t="shared" si="10"/>
        <v>203312.72029164937</v>
      </c>
      <c r="AL27" s="410">
        <f t="shared" si="10"/>
        <v>203312.72029164937</v>
      </c>
      <c r="AM27" s="410">
        <f t="shared" si="10"/>
        <v>203312.72029164937</v>
      </c>
      <c r="AN27" s="410">
        <f t="shared" si="10"/>
        <v>203312.72029164937</v>
      </c>
      <c r="AO27" s="410">
        <f t="shared" si="10"/>
        <v>203312.72029164937</v>
      </c>
      <c r="AP27" s="410">
        <f t="shared" si="10"/>
        <v>203312.72029164937</v>
      </c>
      <c r="AQ27" s="410">
        <f t="shared" si="10"/>
        <v>203312.72029164937</v>
      </c>
      <c r="AR27" s="410">
        <f t="shared" si="10"/>
        <v>203312.72029164937</v>
      </c>
      <c r="AS27" s="410">
        <f t="shared" si="10"/>
        <v>203312.72029164937</v>
      </c>
      <c r="AT27" s="410">
        <f t="shared" si="10"/>
        <v>203312.72029164937</v>
      </c>
      <c r="AU27" s="410">
        <f t="shared" si="10"/>
        <v>203312.72029164937</v>
      </c>
      <c r="AV27" s="410">
        <f t="shared" si="10"/>
        <v>203312.72029164937</v>
      </c>
      <c r="AW27" s="410">
        <f t="shared" si="10"/>
        <v>203312.72029164937</v>
      </c>
      <c r="AX27" s="410">
        <f t="shared" si="10"/>
        <v>203312.72029164937</v>
      </c>
      <c r="AY27" s="410">
        <f t="shared" si="10"/>
        <v>203312.72029164937</v>
      </c>
      <c r="AZ27" s="410">
        <f t="shared" si="10"/>
        <v>203312.72029164937</v>
      </c>
      <c r="BA27" s="410">
        <f t="shared" si="10"/>
        <v>203312.72029164937</v>
      </c>
      <c r="BB27" s="410">
        <f t="shared" si="10"/>
        <v>203312.72029164937</v>
      </c>
      <c r="BC27" s="410">
        <f t="shared" si="10"/>
        <v>203312.72029164937</v>
      </c>
      <c r="BD27" s="410">
        <f t="shared" si="10"/>
        <v>203312.72029164937</v>
      </c>
      <c r="BE27" s="410">
        <f t="shared" si="10"/>
        <v>203312.72029164937</v>
      </c>
      <c r="BF27" s="410">
        <f t="shared" si="10"/>
        <v>203312.72029164937</v>
      </c>
      <c r="BG27" s="410">
        <f t="shared" si="10"/>
        <v>203312.72029164937</v>
      </c>
      <c r="BH27" s="410">
        <f t="shared" si="10"/>
        <v>203312.72029164937</v>
      </c>
      <c r="BI27" s="410">
        <f t="shared" si="10"/>
        <v>203312.72029164937</v>
      </c>
      <c r="BJ27" s="410">
        <f t="shared" si="10"/>
        <v>203312.72029164937</v>
      </c>
      <c r="BK27" s="410">
        <f t="shared" si="10"/>
        <v>203312.72029164937</v>
      </c>
      <c r="BL27" s="410">
        <f t="shared" si="10"/>
        <v>203312.72029164937</v>
      </c>
      <c r="BM27" s="410">
        <f t="shared" si="10"/>
        <v>203312.72029164937</v>
      </c>
      <c r="BN27" s="410">
        <f t="shared" si="10"/>
        <v>203312.72029164937</v>
      </c>
      <c r="BO27" s="410">
        <f t="shared" si="10"/>
        <v>203312.72029164937</v>
      </c>
      <c r="BP27" s="410">
        <f t="shared" si="10"/>
        <v>203312.72029164937</v>
      </c>
      <c r="BQ27" s="410">
        <f t="shared" si="10"/>
        <v>203312.72029164937</v>
      </c>
      <c r="BR27" s="410">
        <f t="shared" si="10"/>
        <v>203312.72029164937</v>
      </c>
      <c r="BS27" s="410">
        <f t="shared" si="10"/>
        <v>203312.72029164937</v>
      </c>
      <c r="BT27" s="410">
        <f t="shared" ref="BT27:CM27" si="11">$D$27*BT16</f>
        <v>203312.72029164937</v>
      </c>
      <c r="BU27" s="410">
        <f t="shared" si="11"/>
        <v>203312.72029164937</v>
      </c>
      <c r="BV27" s="410">
        <f t="shared" si="11"/>
        <v>203312.72029164937</v>
      </c>
      <c r="BW27" s="410">
        <f t="shared" si="11"/>
        <v>203312.72029164937</v>
      </c>
      <c r="BX27" s="410">
        <f t="shared" si="11"/>
        <v>203312.72029164937</v>
      </c>
      <c r="BY27" s="410">
        <f t="shared" si="11"/>
        <v>203312.72029164937</v>
      </c>
      <c r="BZ27" s="410">
        <f t="shared" si="11"/>
        <v>203312.72029164937</v>
      </c>
      <c r="CA27" s="410">
        <f t="shared" si="11"/>
        <v>203312.72029164937</v>
      </c>
      <c r="CB27" s="410">
        <f t="shared" si="11"/>
        <v>203312.72029164937</v>
      </c>
      <c r="CC27" s="410">
        <f t="shared" si="11"/>
        <v>203312.72029164937</v>
      </c>
      <c r="CD27" s="410">
        <f t="shared" si="11"/>
        <v>203312.72029164937</v>
      </c>
      <c r="CE27" s="410">
        <f t="shared" si="11"/>
        <v>203312.72029164937</v>
      </c>
      <c r="CF27" s="410">
        <f t="shared" si="11"/>
        <v>203312.72029164937</v>
      </c>
      <c r="CG27" s="410">
        <f t="shared" si="11"/>
        <v>203312.72029164937</v>
      </c>
      <c r="CH27" s="410">
        <f t="shared" si="11"/>
        <v>203312.72029164937</v>
      </c>
      <c r="CI27" s="410">
        <f t="shared" si="11"/>
        <v>203312.72029164937</v>
      </c>
      <c r="CJ27" s="410">
        <f t="shared" si="11"/>
        <v>203312.72029164937</v>
      </c>
      <c r="CK27" s="410">
        <f t="shared" si="11"/>
        <v>203312.72029164937</v>
      </c>
      <c r="CL27" s="410">
        <f t="shared" si="11"/>
        <v>203312.72029164937</v>
      </c>
      <c r="CM27" s="410">
        <f t="shared" si="11"/>
        <v>203312.72029164937</v>
      </c>
      <c r="CN27" s="58"/>
      <c r="CO27" s="58"/>
      <c r="CP27" s="58"/>
      <c r="CQ27" s="58"/>
      <c r="CR27" s="58"/>
      <c r="CS27" s="58"/>
      <c r="CT27" s="58"/>
      <c r="CU27" s="58"/>
      <c r="CV27" s="58"/>
      <c r="CW27" s="58"/>
      <c r="CX27" s="58"/>
      <c r="CY27" s="58"/>
      <c r="CZ27" s="58"/>
      <c r="DA27" s="58"/>
      <c r="DB27" s="58"/>
      <c r="DC27" s="58"/>
      <c r="DD27" s="58"/>
      <c r="DE27" s="58"/>
      <c r="DF27" s="58"/>
      <c r="DG27" s="58"/>
      <c r="DH27" s="58"/>
      <c r="DI27" s="58"/>
      <c r="DJ27" s="58"/>
      <c r="DK27" s="58"/>
      <c r="DL27" s="58"/>
      <c r="DM27" s="58"/>
      <c r="DN27" s="58"/>
      <c r="DO27" s="58"/>
      <c r="DP27" s="58"/>
      <c r="DQ27" s="58"/>
      <c r="DR27" s="58"/>
      <c r="DS27" s="58"/>
      <c r="DT27" s="58"/>
      <c r="DU27" s="58"/>
      <c r="DV27" s="58"/>
      <c r="DW27" s="58"/>
      <c r="DX27" s="58"/>
      <c r="DY27" s="58"/>
      <c r="DZ27" s="58"/>
      <c r="EA27" s="58"/>
      <c r="EB27" s="58"/>
      <c r="EC27" s="58"/>
      <c r="ED27" s="58"/>
      <c r="EE27" s="58"/>
      <c r="EF27" s="58"/>
      <c r="EG27" s="58"/>
      <c r="EH27" s="58"/>
      <c r="EI27" s="58"/>
      <c r="EJ27" s="58"/>
      <c r="EK27" s="58"/>
      <c r="EL27" s="58"/>
      <c r="EM27" s="58"/>
      <c r="EN27" s="58"/>
      <c r="EO27" s="58"/>
      <c r="EP27" s="58"/>
      <c r="EQ27" s="58"/>
      <c r="ER27" s="58"/>
      <c r="ES27" s="58"/>
      <c r="ET27" s="58"/>
      <c r="EU27" s="58"/>
      <c r="EV27" s="58"/>
      <c r="EW27" s="58"/>
      <c r="EX27" s="58"/>
      <c r="EY27" s="58"/>
      <c r="EZ27" s="58"/>
      <c r="FA27" s="58"/>
      <c r="FB27" s="58"/>
      <c r="FC27" s="58"/>
      <c r="FD27" s="58"/>
      <c r="FE27" s="58"/>
      <c r="FF27" s="58"/>
      <c r="FG27" s="58"/>
      <c r="FH27" s="58"/>
      <c r="FI27" s="58"/>
      <c r="FJ27" s="58"/>
      <c r="FK27" s="58"/>
      <c r="FL27" s="58"/>
      <c r="FM27" s="58"/>
      <c r="FN27" s="58"/>
      <c r="FO27" s="58"/>
      <c r="FP27" s="58"/>
      <c r="FQ27" s="58"/>
      <c r="FR27" s="58"/>
      <c r="FS27" s="58"/>
      <c r="FT27" s="58"/>
      <c r="FU27" s="58"/>
      <c r="FV27" s="58"/>
    </row>
    <row r="28" spans="1:178">
      <c r="A28" s="1058"/>
      <c r="B28" s="2" t="s">
        <v>312</v>
      </c>
      <c r="C28" s="362" t="s">
        <v>143</v>
      </c>
      <c r="D28" s="362"/>
      <c r="E28" s="58"/>
      <c r="F28" s="413" t="s">
        <v>318</v>
      </c>
      <c r="G28" s="414">
        <f>(G29*G2+G30*G3+G31*G4+G32*G5)/SUM(G29:G32)</f>
        <v>28062.676434414607</v>
      </c>
      <c r="H28" s="414">
        <f t="shared" ref="H28:BS28" si="12">(H29*H2+H30*H3+H31*H4+H32*H5)/SUM(H29:H32)</f>
        <v>27406.536875475718</v>
      </c>
      <c r="I28" s="414">
        <f t="shared" si="12"/>
        <v>23094.443550958116</v>
      </c>
      <c r="J28" s="414">
        <f t="shared" si="12"/>
        <v>21830.280976847309</v>
      </c>
      <c r="K28" s="414">
        <f t="shared" si="12"/>
        <v>22075.085820009379</v>
      </c>
      <c r="L28" s="414">
        <f t="shared" si="12"/>
        <v>22737.15710519753</v>
      </c>
      <c r="M28" s="414">
        <f t="shared" si="12"/>
        <v>22288.268651397637</v>
      </c>
      <c r="N28" s="414">
        <f t="shared" si="12"/>
        <v>21974.597339378997</v>
      </c>
      <c r="O28" s="414">
        <f t="shared" si="12"/>
        <v>21581.696466378111</v>
      </c>
      <c r="P28" s="414">
        <f t="shared" si="12"/>
        <v>21251.171360577671</v>
      </c>
      <c r="Q28" s="414">
        <f t="shared" si="12"/>
        <v>21021.100081087123</v>
      </c>
      <c r="R28" s="414">
        <f t="shared" si="12"/>
        <v>20328.7979708278</v>
      </c>
      <c r="S28" s="414">
        <f t="shared" si="12"/>
        <v>21214.125845348135</v>
      </c>
      <c r="T28" s="414">
        <f t="shared" si="12"/>
        <v>20753.923655866358</v>
      </c>
      <c r="U28" s="414">
        <f t="shared" si="12"/>
        <v>19734.872714455494</v>
      </c>
      <c r="V28" s="414">
        <f t="shared" si="12"/>
        <v>22709.114311605041</v>
      </c>
      <c r="W28" s="414">
        <f t="shared" si="12"/>
        <v>21471.231304446017</v>
      </c>
      <c r="X28" s="414">
        <f t="shared" si="12"/>
        <v>19450.135910924855</v>
      </c>
      <c r="Y28" s="414">
        <f t="shared" si="12"/>
        <v>13260.226779779447</v>
      </c>
      <c r="Z28" s="414">
        <f t="shared" si="12"/>
        <v>15073.974610485284</v>
      </c>
      <c r="AA28" s="414">
        <f t="shared" si="12"/>
        <v>14379.639922419488</v>
      </c>
      <c r="AB28" s="414">
        <f t="shared" si="12"/>
        <v>14553.518360108141</v>
      </c>
      <c r="AC28" s="414">
        <f t="shared" si="12"/>
        <v>15769.406183805935</v>
      </c>
      <c r="AD28" s="414">
        <f t="shared" si="12"/>
        <v>15060.450482858141</v>
      </c>
      <c r="AE28" s="414">
        <f t="shared" si="12"/>
        <v>12011.949294521324</v>
      </c>
      <c r="AF28" s="414">
        <f t="shared" si="12"/>
        <v>16234.979088535172</v>
      </c>
      <c r="AG28" s="414">
        <f t="shared" si="12"/>
        <v>16304.670690721909</v>
      </c>
      <c r="AH28" s="414">
        <f t="shared" si="12"/>
        <v>19343.721277328059</v>
      </c>
      <c r="AI28" s="414">
        <f t="shared" si="12"/>
        <v>20638.474479570112</v>
      </c>
      <c r="AJ28" s="414">
        <f t="shared" si="12"/>
        <v>24435.127811277038</v>
      </c>
      <c r="AK28" s="414">
        <f t="shared" si="12"/>
        <v>25010.03640244593</v>
      </c>
      <c r="AL28" s="414">
        <f t="shared" si="12"/>
        <v>21325.828617926858</v>
      </c>
      <c r="AM28" s="414">
        <f t="shared" si="12"/>
        <v>20327.645010888882</v>
      </c>
      <c r="AN28" s="414">
        <f t="shared" si="12"/>
        <v>21186.039454802412</v>
      </c>
      <c r="AO28" s="414">
        <f t="shared" si="12"/>
        <v>16416.068144777935</v>
      </c>
      <c r="AP28" s="414">
        <f t="shared" si="12"/>
        <v>17750.243810405827</v>
      </c>
      <c r="AQ28" s="414">
        <f t="shared" si="12"/>
        <v>29706.169471307305</v>
      </c>
      <c r="AR28" s="414">
        <f t="shared" si="12"/>
        <v>29796.722065408896</v>
      </c>
      <c r="AS28" s="414">
        <f t="shared" si="12"/>
        <v>30513.949408991164</v>
      </c>
      <c r="AT28" s="414">
        <f t="shared" si="12"/>
        <v>29753.629760429249</v>
      </c>
      <c r="AU28" s="414">
        <f t="shared" si="12"/>
        <v>29577.922101188466</v>
      </c>
      <c r="AV28" s="414">
        <f t="shared" si="12"/>
        <v>34431.975377166207</v>
      </c>
      <c r="AW28" s="414">
        <f t="shared" si="12"/>
        <v>33766.626197569851</v>
      </c>
      <c r="AX28" s="414">
        <f t="shared" si="12"/>
        <v>27365.757521498006</v>
      </c>
      <c r="AY28" s="414">
        <f t="shared" si="12"/>
        <v>36435.743221738041</v>
      </c>
      <c r="AZ28" s="414">
        <f t="shared" si="12"/>
        <v>40601.849844131859</v>
      </c>
      <c r="BA28" s="414">
        <f t="shared" si="12"/>
        <v>42003.755993165265</v>
      </c>
      <c r="BB28" s="414">
        <f t="shared" si="12"/>
        <v>42551.521338811981</v>
      </c>
      <c r="BC28" s="414">
        <f t="shared" si="12"/>
        <v>27999.802030797997</v>
      </c>
      <c r="BD28" s="414">
        <f t="shared" si="12"/>
        <v>24473.597212840214</v>
      </c>
      <c r="BE28" s="414">
        <f t="shared" si="12"/>
        <v>23978.098088082439</v>
      </c>
      <c r="BF28" s="414">
        <f t="shared" si="12"/>
        <v>24570.036918687121</v>
      </c>
      <c r="BG28" s="414">
        <f t="shared" si="12"/>
        <v>24256.548299219339</v>
      </c>
      <c r="BH28" s="414">
        <f t="shared" si="12"/>
        <v>24493.988840681024</v>
      </c>
      <c r="BI28" s="414">
        <f t="shared" si="12"/>
        <v>25865.130207111706</v>
      </c>
      <c r="BJ28" s="414">
        <f t="shared" si="12"/>
        <v>25780.475027350691</v>
      </c>
      <c r="BK28" s="414">
        <f t="shared" si="12"/>
        <v>25434.330480758643</v>
      </c>
      <c r="BL28" s="414">
        <f t="shared" si="12"/>
        <v>25597.444851189317</v>
      </c>
      <c r="BM28" s="414">
        <f t="shared" si="12"/>
        <v>26186.852589138896</v>
      </c>
      <c r="BN28" s="414">
        <f t="shared" si="12"/>
        <v>25160.04996383077</v>
      </c>
      <c r="BO28" s="414">
        <f t="shared" si="12"/>
        <v>23894.56123658517</v>
      </c>
      <c r="BP28" s="414">
        <f t="shared" si="12"/>
        <v>23923.862000244648</v>
      </c>
      <c r="BQ28" s="414">
        <f t="shared" si="12"/>
        <v>24432.900032892332</v>
      </c>
      <c r="BR28" s="414">
        <f t="shared" si="12"/>
        <v>25220.360246907509</v>
      </c>
      <c r="BS28" s="414">
        <f t="shared" si="12"/>
        <v>25188.792817413061</v>
      </c>
      <c r="BT28" s="414">
        <f t="shared" ref="BT28:CM28" si="13">(BT29*BT2+BT30*BT3+BT31*BT4+BT32*BT5)/SUM(BT29:BT32)</f>
        <v>23815.537493840613</v>
      </c>
      <c r="BU28" s="414">
        <f t="shared" si="13"/>
        <v>21613.109440000546</v>
      </c>
      <c r="BV28" s="414">
        <f t="shared" si="13"/>
        <v>21858.208147342182</v>
      </c>
      <c r="BW28" s="414">
        <f t="shared" si="13"/>
        <v>22514.92156731278</v>
      </c>
      <c r="BX28" s="414">
        <f t="shared" si="13"/>
        <v>21468.901028510383</v>
      </c>
      <c r="BY28" s="414">
        <f t="shared" si="13"/>
        <v>21895.711198960431</v>
      </c>
      <c r="BZ28" s="414">
        <f t="shared" si="13"/>
        <v>22500.198511150516</v>
      </c>
      <c r="CA28" s="414">
        <f t="shared" si="13"/>
        <v>19608.944738177888</v>
      </c>
      <c r="CB28" s="414">
        <f t="shared" si="13"/>
        <v>19387.878969803194</v>
      </c>
      <c r="CC28" s="414">
        <f t="shared" si="13"/>
        <v>20752.420719213613</v>
      </c>
      <c r="CD28" s="414">
        <f t="shared" si="13"/>
        <v>20504.270657608169</v>
      </c>
      <c r="CE28" s="414">
        <f t="shared" si="13"/>
        <v>21336.086934010902</v>
      </c>
      <c r="CF28" s="414">
        <f t="shared" si="13"/>
        <v>21665.403201168363</v>
      </c>
      <c r="CG28" s="414">
        <f t="shared" si="13"/>
        <v>21078.01883386225</v>
      </c>
      <c r="CH28" s="414">
        <f t="shared" si="13"/>
        <v>21237.69096079703</v>
      </c>
      <c r="CI28" s="414">
        <f t="shared" si="13"/>
        <v>21432.923231288747</v>
      </c>
      <c r="CJ28" s="414">
        <f t="shared" si="13"/>
        <v>22057.371623052662</v>
      </c>
      <c r="CK28" s="414">
        <f t="shared" si="13"/>
        <v>21404.124427938823</v>
      </c>
      <c r="CL28" s="414">
        <f t="shared" si="13"/>
        <v>21537.370202844952</v>
      </c>
      <c r="CM28" s="414">
        <f t="shared" si="13"/>
        <v>23317.842402736609</v>
      </c>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58"/>
      <c r="EI28" s="58"/>
      <c r="EJ28" s="58"/>
      <c r="EK28" s="58"/>
      <c r="EL28" s="58"/>
      <c r="EM28" s="58"/>
      <c r="EN28" s="58"/>
      <c r="EO28" s="58"/>
      <c r="EP28" s="58"/>
      <c r="EQ28" s="58"/>
      <c r="ER28" s="58"/>
      <c r="ES28" s="58"/>
      <c r="ET28" s="58"/>
      <c r="EU28" s="58"/>
      <c r="EV28" s="58"/>
      <c r="EW28" s="58"/>
      <c r="EX28" s="58"/>
      <c r="EY28" s="58"/>
      <c r="EZ28" s="58"/>
      <c r="FA28" s="58"/>
      <c r="FB28" s="58"/>
      <c r="FC28" s="58"/>
      <c r="FD28" s="58"/>
      <c r="FE28" s="58"/>
      <c r="FF28" s="58"/>
      <c r="FG28" s="58"/>
      <c r="FH28" s="58"/>
      <c r="FI28" s="58"/>
      <c r="FJ28" s="58"/>
      <c r="FK28" s="58"/>
      <c r="FL28" s="58"/>
      <c r="FM28" s="58"/>
      <c r="FN28" s="58"/>
      <c r="FO28" s="58"/>
      <c r="FP28" s="58"/>
      <c r="FQ28" s="58"/>
      <c r="FR28" s="58"/>
      <c r="FS28" s="58"/>
      <c r="FT28" s="58"/>
      <c r="FU28" s="58"/>
      <c r="FV28" s="58"/>
    </row>
    <row r="29" spans="1:178">
      <c r="A29" s="1058"/>
      <c r="B29" s="2" t="s">
        <v>312</v>
      </c>
      <c r="C29" s="362" t="s">
        <v>313</v>
      </c>
      <c r="D29" s="362">
        <v>0.622</v>
      </c>
      <c r="E29" s="58"/>
      <c r="F29" s="27" t="s">
        <v>175</v>
      </c>
      <c r="G29" s="411">
        <f>$D$29*G12</f>
        <v>29493.166666666664</v>
      </c>
      <c r="H29" s="411">
        <f t="shared" ref="H29:BS29" si="14">$D$29*H12</f>
        <v>29493.166666666664</v>
      </c>
      <c r="I29" s="411">
        <f t="shared" si="14"/>
        <v>29493.166666666664</v>
      </c>
      <c r="J29" s="411">
        <f t="shared" si="14"/>
        <v>29493.166666666664</v>
      </c>
      <c r="K29" s="411">
        <f t="shared" si="14"/>
        <v>29493.166666666664</v>
      </c>
      <c r="L29" s="411">
        <f t="shared" si="14"/>
        <v>29493.166666666664</v>
      </c>
      <c r="M29" s="411">
        <f t="shared" si="14"/>
        <v>29493.166666666664</v>
      </c>
      <c r="N29" s="411">
        <f t="shared" si="14"/>
        <v>29493.166666666664</v>
      </c>
      <c r="O29" s="411">
        <f t="shared" si="14"/>
        <v>29493.166666666664</v>
      </c>
      <c r="P29" s="411">
        <f t="shared" si="14"/>
        <v>29493.166666666664</v>
      </c>
      <c r="Q29" s="411">
        <f t="shared" si="14"/>
        <v>29493.166666666664</v>
      </c>
      <c r="R29" s="411">
        <f t="shared" si="14"/>
        <v>29493.166666666664</v>
      </c>
      <c r="S29" s="411">
        <f t="shared" si="14"/>
        <v>29493.166666666664</v>
      </c>
      <c r="T29" s="411">
        <f t="shared" si="14"/>
        <v>29493.166666666664</v>
      </c>
      <c r="U29" s="411">
        <f t="shared" si="14"/>
        <v>29493.166666666664</v>
      </c>
      <c r="V29" s="411">
        <f t="shared" si="14"/>
        <v>29493.166666666664</v>
      </c>
      <c r="W29" s="411">
        <f t="shared" si="14"/>
        <v>29493.166666666664</v>
      </c>
      <c r="X29" s="411">
        <f t="shared" si="14"/>
        <v>29493.166666666664</v>
      </c>
      <c r="Y29" s="411">
        <f t="shared" si="14"/>
        <v>29493.166666666664</v>
      </c>
      <c r="Z29" s="411">
        <f t="shared" si="14"/>
        <v>29493.166666666664</v>
      </c>
      <c r="AA29" s="411">
        <f t="shared" si="14"/>
        <v>29493.166666666664</v>
      </c>
      <c r="AB29" s="411">
        <f t="shared" si="14"/>
        <v>29493.166666666664</v>
      </c>
      <c r="AC29" s="411">
        <f t="shared" si="14"/>
        <v>29493.166666666664</v>
      </c>
      <c r="AD29" s="411">
        <f t="shared" si="14"/>
        <v>29493.166666666664</v>
      </c>
      <c r="AE29" s="411">
        <f t="shared" si="14"/>
        <v>29493.166666666664</v>
      </c>
      <c r="AF29" s="411">
        <f t="shared" si="14"/>
        <v>29493.166666666664</v>
      </c>
      <c r="AG29" s="411">
        <f t="shared" si="14"/>
        <v>29493.166666666664</v>
      </c>
      <c r="AH29" s="411">
        <f t="shared" si="14"/>
        <v>29493.166666666664</v>
      </c>
      <c r="AI29" s="411">
        <f t="shared" si="14"/>
        <v>29493.166666666664</v>
      </c>
      <c r="AJ29" s="411">
        <f t="shared" si="14"/>
        <v>29493.166666666664</v>
      </c>
      <c r="AK29" s="411">
        <f t="shared" si="14"/>
        <v>29493.166666666664</v>
      </c>
      <c r="AL29" s="411">
        <f t="shared" si="14"/>
        <v>29493.166666666664</v>
      </c>
      <c r="AM29" s="411">
        <f t="shared" si="14"/>
        <v>29493.166666666664</v>
      </c>
      <c r="AN29" s="411">
        <f t="shared" si="14"/>
        <v>29493.166666666664</v>
      </c>
      <c r="AO29" s="411">
        <f t="shared" si="14"/>
        <v>29493.166666666664</v>
      </c>
      <c r="AP29" s="411">
        <f t="shared" si="14"/>
        <v>29493.166666666664</v>
      </c>
      <c r="AQ29" s="411">
        <f t="shared" si="14"/>
        <v>29493.166666666664</v>
      </c>
      <c r="AR29" s="411">
        <f t="shared" si="14"/>
        <v>29493.166666666664</v>
      </c>
      <c r="AS29" s="411">
        <f t="shared" si="14"/>
        <v>29493.166666666664</v>
      </c>
      <c r="AT29" s="411">
        <f t="shared" si="14"/>
        <v>29493.166666666664</v>
      </c>
      <c r="AU29" s="411">
        <f t="shared" si="14"/>
        <v>29493.166666666664</v>
      </c>
      <c r="AV29" s="411">
        <f t="shared" si="14"/>
        <v>29493.166666666664</v>
      </c>
      <c r="AW29" s="411">
        <f t="shared" si="14"/>
        <v>29493.166666666664</v>
      </c>
      <c r="AX29" s="411">
        <f t="shared" si="14"/>
        <v>29493.166666666664</v>
      </c>
      <c r="AY29" s="411">
        <f t="shared" si="14"/>
        <v>29493.166666666664</v>
      </c>
      <c r="AZ29" s="411">
        <f t="shared" si="14"/>
        <v>29493.166666666664</v>
      </c>
      <c r="BA29" s="411">
        <f t="shared" si="14"/>
        <v>29493.166666666664</v>
      </c>
      <c r="BB29" s="411">
        <f t="shared" si="14"/>
        <v>29493.166666666664</v>
      </c>
      <c r="BC29" s="411">
        <f t="shared" si="14"/>
        <v>29493.166666666664</v>
      </c>
      <c r="BD29" s="411">
        <f t="shared" si="14"/>
        <v>29493.166666666664</v>
      </c>
      <c r="BE29" s="411">
        <f t="shared" si="14"/>
        <v>29493.166666666664</v>
      </c>
      <c r="BF29" s="411">
        <f t="shared" si="14"/>
        <v>29493.166666666664</v>
      </c>
      <c r="BG29" s="411">
        <f t="shared" si="14"/>
        <v>29493.166666666664</v>
      </c>
      <c r="BH29" s="411">
        <f t="shared" si="14"/>
        <v>29493.166666666664</v>
      </c>
      <c r="BI29" s="411">
        <f t="shared" si="14"/>
        <v>29493.166666666664</v>
      </c>
      <c r="BJ29" s="411">
        <f t="shared" si="14"/>
        <v>29493.166666666664</v>
      </c>
      <c r="BK29" s="411">
        <f t="shared" si="14"/>
        <v>29493.166666666664</v>
      </c>
      <c r="BL29" s="411">
        <f t="shared" si="14"/>
        <v>29493.166666666664</v>
      </c>
      <c r="BM29" s="411">
        <f t="shared" si="14"/>
        <v>29493.166666666664</v>
      </c>
      <c r="BN29" s="411">
        <f t="shared" si="14"/>
        <v>29493.166666666664</v>
      </c>
      <c r="BO29" s="411">
        <f t="shared" si="14"/>
        <v>29493.166666666664</v>
      </c>
      <c r="BP29" s="411">
        <f t="shared" si="14"/>
        <v>29493.166666666664</v>
      </c>
      <c r="BQ29" s="411">
        <f t="shared" si="14"/>
        <v>29493.166666666664</v>
      </c>
      <c r="BR29" s="411">
        <f t="shared" si="14"/>
        <v>29493.166666666664</v>
      </c>
      <c r="BS29" s="411">
        <f t="shared" si="14"/>
        <v>29493.166666666664</v>
      </c>
      <c r="BT29" s="411">
        <f t="shared" ref="BT29:CM29" si="15">$D$29*BT12</f>
        <v>29493.166666666664</v>
      </c>
      <c r="BU29" s="411">
        <f t="shared" si="15"/>
        <v>29493.166666666664</v>
      </c>
      <c r="BV29" s="411">
        <f t="shared" si="15"/>
        <v>29493.166666666664</v>
      </c>
      <c r="BW29" s="411">
        <f t="shared" si="15"/>
        <v>29493.166666666664</v>
      </c>
      <c r="BX29" s="411">
        <f t="shared" si="15"/>
        <v>29493.166666666664</v>
      </c>
      <c r="BY29" s="411">
        <f t="shared" si="15"/>
        <v>29493.166666666664</v>
      </c>
      <c r="BZ29" s="411">
        <f t="shared" si="15"/>
        <v>29493.166666666664</v>
      </c>
      <c r="CA29" s="411">
        <f t="shared" si="15"/>
        <v>29493.166666666664</v>
      </c>
      <c r="CB29" s="411">
        <f t="shared" si="15"/>
        <v>29493.166666666664</v>
      </c>
      <c r="CC29" s="411">
        <f t="shared" si="15"/>
        <v>29493.166666666664</v>
      </c>
      <c r="CD29" s="411">
        <f t="shared" si="15"/>
        <v>29493.166666666664</v>
      </c>
      <c r="CE29" s="411">
        <f t="shared" si="15"/>
        <v>29493.166666666664</v>
      </c>
      <c r="CF29" s="411">
        <f t="shared" si="15"/>
        <v>29493.166666666664</v>
      </c>
      <c r="CG29" s="411">
        <f t="shared" si="15"/>
        <v>29493.166666666664</v>
      </c>
      <c r="CH29" s="411">
        <f t="shared" si="15"/>
        <v>29493.166666666664</v>
      </c>
      <c r="CI29" s="411">
        <f t="shared" si="15"/>
        <v>29493.166666666664</v>
      </c>
      <c r="CJ29" s="411">
        <f t="shared" si="15"/>
        <v>29493.166666666664</v>
      </c>
      <c r="CK29" s="411">
        <f t="shared" si="15"/>
        <v>29493.166666666664</v>
      </c>
      <c r="CL29" s="411">
        <f t="shared" si="15"/>
        <v>29493.166666666664</v>
      </c>
      <c r="CM29" s="411">
        <f t="shared" si="15"/>
        <v>29493.166666666635</v>
      </c>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c r="EB29" s="58"/>
      <c r="EC29" s="58"/>
      <c r="ED29" s="58"/>
      <c r="EE29" s="58"/>
      <c r="EF29" s="58"/>
      <c r="EG29" s="58"/>
      <c r="EH29" s="58"/>
      <c r="EI29" s="58"/>
      <c r="EJ29" s="58"/>
      <c r="EK29" s="58"/>
      <c r="EL29" s="58"/>
      <c r="EM29" s="58"/>
      <c r="EN29" s="58"/>
      <c r="EO29" s="58"/>
      <c r="EP29" s="58"/>
      <c r="EQ29" s="58"/>
      <c r="ER29" s="58"/>
      <c r="ES29" s="58"/>
      <c r="ET29" s="58"/>
      <c r="EU29" s="58"/>
      <c r="EV29" s="58"/>
      <c r="EW29" s="58"/>
      <c r="EX29" s="58"/>
      <c r="EY29" s="58"/>
      <c r="EZ29" s="58"/>
      <c r="FA29" s="58"/>
      <c r="FB29" s="58"/>
      <c r="FC29" s="58"/>
      <c r="FD29" s="58"/>
      <c r="FE29" s="58"/>
      <c r="FF29" s="58"/>
      <c r="FG29" s="58"/>
      <c r="FH29" s="58"/>
      <c r="FI29" s="58"/>
      <c r="FJ29" s="58"/>
      <c r="FK29" s="58"/>
      <c r="FL29" s="58"/>
      <c r="FM29" s="58"/>
      <c r="FN29" s="58"/>
      <c r="FO29" s="58"/>
      <c r="FP29" s="58"/>
      <c r="FQ29" s="58"/>
      <c r="FR29" s="58"/>
      <c r="FS29" s="58"/>
      <c r="FT29" s="58"/>
      <c r="FU29" s="58"/>
      <c r="FV29" s="58"/>
    </row>
    <row r="30" spans="1:178">
      <c r="A30" s="1058"/>
      <c r="B30" s="2" t="s">
        <v>312</v>
      </c>
      <c r="C30" s="362" t="s">
        <v>313</v>
      </c>
      <c r="D30" s="362">
        <v>1.4999999999999999E-2</v>
      </c>
      <c r="E30" s="58"/>
      <c r="F30" s="27" t="s">
        <v>176</v>
      </c>
      <c r="G30" s="411">
        <f>$D$30*G13</f>
        <v>871.25</v>
      </c>
      <c r="H30" s="411">
        <f t="shared" ref="H30:BS30" si="16">$D$30*H13</f>
        <v>871.25</v>
      </c>
      <c r="I30" s="411">
        <f t="shared" si="16"/>
        <v>871.25</v>
      </c>
      <c r="J30" s="411">
        <f t="shared" si="16"/>
        <v>871.25</v>
      </c>
      <c r="K30" s="411">
        <f t="shared" si="16"/>
        <v>871.25</v>
      </c>
      <c r="L30" s="411">
        <f t="shared" si="16"/>
        <v>871.25</v>
      </c>
      <c r="M30" s="411">
        <f t="shared" si="16"/>
        <v>871.25</v>
      </c>
      <c r="N30" s="411">
        <f t="shared" si="16"/>
        <v>871.25</v>
      </c>
      <c r="O30" s="411">
        <f t="shared" si="16"/>
        <v>871.25</v>
      </c>
      <c r="P30" s="411">
        <f t="shared" si="16"/>
        <v>871.25</v>
      </c>
      <c r="Q30" s="411">
        <f t="shared" si="16"/>
        <v>871.25</v>
      </c>
      <c r="R30" s="411">
        <f t="shared" si="16"/>
        <v>871.25</v>
      </c>
      <c r="S30" s="411">
        <f t="shared" si="16"/>
        <v>871.25</v>
      </c>
      <c r="T30" s="411">
        <f t="shared" si="16"/>
        <v>871.25</v>
      </c>
      <c r="U30" s="411">
        <f t="shared" si="16"/>
        <v>871.25</v>
      </c>
      <c r="V30" s="411">
        <f t="shared" si="16"/>
        <v>871.25</v>
      </c>
      <c r="W30" s="411">
        <f t="shared" si="16"/>
        <v>871.25</v>
      </c>
      <c r="X30" s="411">
        <f t="shared" si="16"/>
        <v>871.25</v>
      </c>
      <c r="Y30" s="411">
        <f t="shared" si="16"/>
        <v>871.25</v>
      </c>
      <c r="Z30" s="411">
        <f t="shared" si="16"/>
        <v>871.25</v>
      </c>
      <c r="AA30" s="411">
        <f t="shared" si="16"/>
        <v>871.25</v>
      </c>
      <c r="AB30" s="411">
        <f t="shared" si="16"/>
        <v>871.25</v>
      </c>
      <c r="AC30" s="411">
        <f t="shared" si="16"/>
        <v>871.25</v>
      </c>
      <c r="AD30" s="411">
        <f t="shared" si="16"/>
        <v>871.25</v>
      </c>
      <c r="AE30" s="411">
        <f t="shared" si="16"/>
        <v>871.25</v>
      </c>
      <c r="AF30" s="411">
        <f t="shared" si="16"/>
        <v>871.25</v>
      </c>
      <c r="AG30" s="411">
        <f t="shared" si="16"/>
        <v>871.25</v>
      </c>
      <c r="AH30" s="411">
        <f t="shared" si="16"/>
        <v>871.25</v>
      </c>
      <c r="AI30" s="411">
        <f t="shared" si="16"/>
        <v>871.25</v>
      </c>
      <c r="AJ30" s="411">
        <f t="shared" si="16"/>
        <v>871.25</v>
      </c>
      <c r="AK30" s="411">
        <f t="shared" si="16"/>
        <v>871.25</v>
      </c>
      <c r="AL30" s="411">
        <f t="shared" si="16"/>
        <v>871.25</v>
      </c>
      <c r="AM30" s="411">
        <f t="shared" si="16"/>
        <v>871.25</v>
      </c>
      <c r="AN30" s="411">
        <f t="shared" si="16"/>
        <v>871.25</v>
      </c>
      <c r="AO30" s="411">
        <f t="shared" si="16"/>
        <v>871.25</v>
      </c>
      <c r="AP30" s="411">
        <f t="shared" si="16"/>
        <v>871.25</v>
      </c>
      <c r="AQ30" s="411">
        <f t="shared" si="16"/>
        <v>871.25</v>
      </c>
      <c r="AR30" s="411">
        <f t="shared" si="16"/>
        <v>871.25</v>
      </c>
      <c r="AS30" s="411">
        <f t="shared" si="16"/>
        <v>871.25</v>
      </c>
      <c r="AT30" s="411">
        <f t="shared" si="16"/>
        <v>871.25</v>
      </c>
      <c r="AU30" s="411">
        <f t="shared" si="16"/>
        <v>871.25</v>
      </c>
      <c r="AV30" s="411">
        <f t="shared" si="16"/>
        <v>871.25</v>
      </c>
      <c r="AW30" s="411">
        <f t="shared" si="16"/>
        <v>871.25</v>
      </c>
      <c r="AX30" s="411">
        <f t="shared" si="16"/>
        <v>871.25</v>
      </c>
      <c r="AY30" s="411">
        <f t="shared" si="16"/>
        <v>871.25</v>
      </c>
      <c r="AZ30" s="411">
        <f t="shared" si="16"/>
        <v>871.25</v>
      </c>
      <c r="BA30" s="411">
        <f t="shared" si="16"/>
        <v>871.25</v>
      </c>
      <c r="BB30" s="411">
        <f t="shared" si="16"/>
        <v>871.25</v>
      </c>
      <c r="BC30" s="411">
        <f t="shared" si="16"/>
        <v>871.25</v>
      </c>
      <c r="BD30" s="411">
        <f t="shared" si="16"/>
        <v>871.25</v>
      </c>
      <c r="BE30" s="411">
        <f t="shared" si="16"/>
        <v>871.25</v>
      </c>
      <c r="BF30" s="411">
        <f t="shared" si="16"/>
        <v>871.25</v>
      </c>
      <c r="BG30" s="411">
        <f t="shared" si="16"/>
        <v>871.25</v>
      </c>
      <c r="BH30" s="411">
        <f t="shared" si="16"/>
        <v>871.25</v>
      </c>
      <c r="BI30" s="411">
        <f t="shared" si="16"/>
        <v>871.25</v>
      </c>
      <c r="BJ30" s="411">
        <f t="shared" si="16"/>
        <v>871.25</v>
      </c>
      <c r="BK30" s="411">
        <f t="shared" si="16"/>
        <v>871.25</v>
      </c>
      <c r="BL30" s="411">
        <f t="shared" si="16"/>
        <v>871.25</v>
      </c>
      <c r="BM30" s="411">
        <f t="shared" si="16"/>
        <v>871.25</v>
      </c>
      <c r="BN30" s="411">
        <f t="shared" si="16"/>
        <v>871.25</v>
      </c>
      <c r="BO30" s="411">
        <f t="shared" si="16"/>
        <v>871.25</v>
      </c>
      <c r="BP30" s="411">
        <f t="shared" si="16"/>
        <v>871.25</v>
      </c>
      <c r="BQ30" s="411">
        <f t="shared" si="16"/>
        <v>871.25</v>
      </c>
      <c r="BR30" s="411">
        <f t="shared" si="16"/>
        <v>871.25</v>
      </c>
      <c r="BS30" s="411">
        <f t="shared" si="16"/>
        <v>871.25</v>
      </c>
      <c r="BT30" s="411">
        <f t="shared" ref="BT30:CM30" si="17">$D$30*BT13</f>
        <v>871.25</v>
      </c>
      <c r="BU30" s="411">
        <f t="shared" si="17"/>
        <v>871.25</v>
      </c>
      <c r="BV30" s="411">
        <f t="shared" si="17"/>
        <v>871.25</v>
      </c>
      <c r="BW30" s="411">
        <f t="shared" si="17"/>
        <v>871.25</v>
      </c>
      <c r="BX30" s="411">
        <f t="shared" si="17"/>
        <v>871.25</v>
      </c>
      <c r="BY30" s="411">
        <f t="shared" si="17"/>
        <v>871.25</v>
      </c>
      <c r="BZ30" s="411">
        <f t="shared" si="17"/>
        <v>871.25</v>
      </c>
      <c r="CA30" s="411">
        <f t="shared" si="17"/>
        <v>871.25</v>
      </c>
      <c r="CB30" s="411">
        <f t="shared" si="17"/>
        <v>871.25</v>
      </c>
      <c r="CC30" s="411">
        <f t="shared" si="17"/>
        <v>871.25</v>
      </c>
      <c r="CD30" s="411">
        <f t="shared" si="17"/>
        <v>871.25</v>
      </c>
      <c r="CE30" s="411">
        <f t="shared" si="17"/>
        <v>871.25</v>
      </c>
      <c r="CF30" s="411">
        <f t="shared" si="17"/>
        <v>871.25</v>
      </c>
      <c r="CG30" s="411">
        <f t="shared" si="17"/>
        <v>871.25</v>
      </c>
      <c r="CH30" s="411">
        <f t="shared" si="17"/>
        <v>871.25</v>
      </c>
      <c r="CI30" s="411">
        <f t="shared" si="17"/>
        <v>871.25</v>
      </c>
      <c r="CJ30" s="411">
        <f t="shared" si="17"/>
        <v>871.25</v>
      </c>
      <c r="CK30" s="411">
        <f t="shared" si="17"/>
        <v>871.25</v>
      </c>
      <c r="CL30" s="411">
        <f t="shared" si="17"/>
        <v>871.25</v>
      </c>
      <c r="CM30" s="411">
        <f t="shared" si="17"/>
        <v>871.25000000000011</v>
      </c>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c r="EB30" s="58"/>
      <c r="EC30" s="58"/>
      <c r="ED30" s="58"/>
      <c r="EE30" s="58"/>
      <c r="EF30" s="58"/>
      <c r="EG30" s="58"/>
      <c r="EH30" s="58"/>
      <c r="EI30" s="58"/>
      <c r="EJ30" s="58"/>
      <c r="EK30" s="58"/>
      <c r="EL30" s="58"/>
      <c r="EM30" s="58"/>
      <c r="EN30" s="58"/>
      <c r="EO30" s="58"/>
      <c r="EP30" s="58"/>
      <c r="EQ30" s="58"/>
      <c r="ER30" s="58"/>
      <c r="ES30" s="58"/>
      <c r="ET30" s="58"/>
      <c r="EU30" s="58"/>
      <c r="EV30" s="58"/>
      <c r="EW30" s="58"/>
      <c r="EX30" s="58"/>
      <c r="EY30" s="58"/>
      <c r="EZ30" s="58"/>
      <c r="FA30" s="58"/>
      <c r="FB30" s="58"/>
      <c r="FC30" s="58"/>
      <c r="FD30" s="58"/>
      <c r="FE30" s="58"/>
      <c r="FF30" s="58"/>
      <c r="FG30" s="58"/>
      <c r="FH30" s="58"/>
      <c r="FI30" s="58"/>
      <c r="FJ30" s="58"/>
      <c r="FK30" s="58"/>
      <c r="FL30" s="58"/>
      <c r="FM30" s="58"/>
      <c r="FN30" s="58"/>
      <c r="FO30" s="58"/>
      <c r="FP30" s="58"/>
      <c r="FQ30" s="58"/>
      <c r="FR30" s="58"/>
      <c r="FS30" s="58"/>
      <c r="FT30" s="58"/>
      <c r="FU30" s="58"/>
      <c r="FV30" s="58"/>
    </row>
    <row r="31" spans="1:178">
      <c r="A31" s="1058"/>
      <c r="B31" s="2" t="s">
        <v>312</v>
      </c>
      <c r="C31" s="362" t="s">
        <v>313</v>
      </c>
      <c r="D31" s="362">
        <v>1.9E-2</v>
      </c>
      <c r="E31" s="58"/>
      <c r="F31" s="27" t="s">
        <v>177</v>
      </c>
      <c r="G31" s="411">
        <f>$D$31*G14</f>
        <v>215.33333333333334</v>
      </c>
      <c r="H31" s="411">
        <f t="shared" ref="H31:BS31" si="18">$D$31*H14</f>
        <v>215.33333333333334</v>
      </c>
      <c r="I31" s="411">
        <f t="shared" si="18"/>
        <v>215.33333333333334</v>
      </c>
      <c r="J31" s="411">
        <f t="shared" si="18"/>
        <v>215.33333333333334</v>
      </c>
      <c r="K31" s="411">
        <f t="shared" si="18"/>
        <v>215.33333333333334</v>
      </c>
      <c r="L31" s="411">
        <f t="shared" si="18"/>
        <v>215.33333333333334</v>
      </c>
      <c r="M31" s="411">
        <f t="shared" si="18"/>
        <v>215.33333333333334</v>
      </c>
      <c r="N31" s="411">
        <f t="shared" si="18"/>
        <v>215.33333333333334</v>
      </c>
      <c r="O31" s="411">
        <f t="shared" si="18"/>
        <v>215.33333333333334</v>
      </c>
      <c r="P31" s="411">
        <f t="shared" si="18"/>
        <v>215.33333333333334</v>
      </c>
      <c r="Q31" s="411">
        <f t="shared" si="18"/>
        <v>215.33333333333334</v>
      </c>
      <c r="R31" s="411">
        <f t="shared" si="18"/>
        <v>215.33333333333334</v>
      </c>
      <c r="S31" s="411">
        <f t="shared" si="18"/>
        <v>215.33333333333334</v>
      </c>
      <c r="T31" s="411">
        <f t="shared" si="18"/>
        <v>215.33333333333334</v>
      </c>
      <c r="U31" s="411">
        <f t="shared" si="18"/>
        <v>215.33333333333334</v>
      </c>
      <c r="V31" s="411">
        <f t="shared" si="18"/>
        <v>215.33333333333334</v>
      </c>
      <c r="W31" s="411">
        <f t="shared" si="18"/>
        <v>215.33333333333334</v>
      </c>
      <c r="X31" s="411">
        <f t="shared" si="18"/>
        <v>215.33333333333334</v>
      </c>
      <c r="Y31" s="411">
        <f t="shared" si="18"/>
        <v>215.33333333333334</v>
      </c>
      <c r="Z31" s="411">
        <f t="shared" si="18"/>
        <v>215.33333333333334</v>
      </c>
      <c r="AA31" s="411">
        <f t="shared" si="18"/>
        <v>215.33333333333334</v>
      </c>
      <c r="AB31" s="411">
        <f t="shared" si="18"/>
        <v>215.33333333333334</v>
      </c>
      <c r="AC31" s="411">
        <f t="shared" si="18"/>
        <v>215.33333333333334</v>
      </c>
      <c r="AD31" s="411">
        <f t="shared" si="18"/>
        <v>215.33333333333334</v>
      </c>
      <c r="AE31" s="411">
        <f t="shared" si="18"/>
        <v>215.33333333333334</v>
      </c>
      <c r="AF31" s="411">
        <f t="shared" si="18"/>
        <v>215.33333333333334</v>
      </c>
      <c r="AG31" s="411">
        <f t="shared" si="18"/>
        <v>215.33333333333334</v>
      </c>
      <c r="AH31" s="411">
        <f t="shared" si="18"/>
        <v>215.33333333333334</v>
      </c>
      <c r="AI31" s="411">
        <f t="shared" si="18"/>
        <v>215.33333333333334</v>
      </c>
      <c r="AJ31" s="411">
        <f t="shared" si="18"/>
        <v>215.33333333333334</v>
      </c>
      <c r="AK31" s="411">
        <f t="shared" si="18"/>
        <v>215.33333333333334</v>
      </c>
      <c r="AL31" s="411">
        <f t="shared" si="18"/>
        <v>215.33333333333334</v>
      </c>
      <c r="AM31" s="411">
        <f t="shared" si="18"/>
        <v>215.33333333333334</v>
      </c>
      <c r="AN31" s="411">
        <f t="shared" si="18"/>
        <v>215.33333333333334</v>
      </c>
      <c r="AO31" s="411">
        <f t="shared" si="18"/>
        <v>215.33333333333334</v>
      </c>
      <c r="AP31" s="411">
        <f t="shared" si="18"/>
        <v>215.33333333333334</v>
      </c>
      <c r="AQ31" s="411">
        <f t="shared" si="18"/>
        <v>215.33333333333334</v>
      </c>
      <c r="AR31" s="411">
        <f t="shared" si="18"/>
        <v>215.33333333333334</v>
      </c>
      <c r="AS31" s="411">
        <f t="shared" si="18"/>
        <v>215.33333333333334</v>
      </c>
      <c r="AT31" s="411">
        <f t="shared" si="18"/>
        <v>215.33333333333334</v>
      </c>
      <c r="AU31" s="411">
        <f t="shared" si="18"/>
        <v>215.33333333333334</v>
      </c>
      <c r="AV31" s="411">
        <f t="shared" si="18"/>
        <v>215.33333333333334</v>
      </c>
      <c r="AW31" s="411">
        <f t="shared" si="18"/>
        <v>215.33333333333334</v>
      </c>
      <c r="AX31" s="411">
        <f t="shared" si="18"/>
        <v>215.33333333333334</v>
      </c>
      <c r="AY31" s="411">
        <f t="shared" si="18"/>
        <v>215.33333333333334</v>
      </c>
      <c r="AZ31" s="411">
        <f t="shared" si="18"/>
        <v>215.33333333333334</v>
      </c>
      <c r="BA31" s="411">
        <f t="shared" si="18"/>
        <v>215.33333333333334</v>
      </c>
      <c r="BB31" s="411">
        <f t="shared" si="18"/>
        <v>215.33333333333334</v>
      </c>
      <c r="BC31" s="411">
        <f t="shared" si="18"/>
        <v>215.33333333333334</v>
      </c>
      <c r="BD31" s="411">
        <f t="shared" si="18"/>
        <v>215.33333333333334</v>
      </c>
      <c r="BE31" s="411">
        <f t="shared" si="18"/>
        <v>215.33333333333334</v>
      </c>
      <c r="BF31" s="411">
        <f t="shared" si="18"/>
        <v>215.33333333333334</v>
      </c>
      <c r="BG31" s="411">
        <f t="shared" si="18"/>
        <v>215.33333333333334</v>
      </c>
      <c r="BH31" s="411">
        <f t="shared" si="18"/>
        <v>215.33333333333334</v>
      </c>
      <c r="BI31" s="411">
        <f t="shared" si="18"/>
        <v>215.33333333333334</v>
      </c>
      <c r="BJ31" s="411">
        <f t="shared" si="18"/>
        <v>215.33333333333334</v>
      </c>
      <c r="BK31" s="411">
        <f t="shared" si="18"/>
        <v>215.33333333333334</v>
      </c>
      <c r="BL31" s="411">
        <f t="shared" si="18"/>
        <v>215.33333333333334</v>
      </c>
      <c r="BM31" s="411">
        <f t="shared" si="18"/>
        <v>215.33333333333334</v>
      </c>
      <c r="BN31" s="411">
        <f t="shared" si="18"/>
        <v>215.33333333333334</v>
      </c>
      <c r="BO31" s="411">
        <f t="shared" si="18"/>
        <v>215.33333333333334</v>
      </c>
      <c r="BP31" s="411">
        <f t="shared" si="18"/>
        <v>215.33333333333334</v>
      </c>
      <c r="BQ31" s="411">
        <f t="shared" si="18"/>
        <v>215.33333333333334</v>
      </c>
      <c r="BR31" s="411">
        <f t="shared" si="18"/>
        <v>215.33333333333334</v>
      </c>
      <c r="BS31" s="411">
        <f t="shared" si="18"/>
        <v>215.33333333333334</v>
      </c>
      <c r="BT31" s="411">
        <f t="shared" ref="BT31:CM31" si="19">$D$31*BT14</f>
        <v>215.33333333333334</v>
      </c>
      <c r="BU31" s="411">
        <f t="shared" si="19"/>
        <v>215.33333333333334</v>
      </c>
      <c r="BV31" s="411">
        <f t="shared" si="19"/>
        <v>215.33333333333334</v>
      </c>
      <c r="BW31" s="411">
        <f t="shared" si="19"/>
        <v>215.33333333333334</v>
      </c>
      <c r="BX31" s="411">
        <f t="shared" si="19"/>
        <v>215.33333333333334</v>
      </c>
      <c r="BY31" s="411">
        <f t="shared" si="19"/>
        <v>215.33333333333334</v>
      </c>
      <c r="BZ31" s="411">
        <f t="shared" si="19"/>
        <v>215.33333333333334</v>
      </c>
      <c r="CA31" s="411">
        <f t="shared" si="19"/>
        <v>215.33333333333334</v>
      </c>
      <c r="CB31" s="411">
        <f t="shared" si="19"/>
        <v>215.33333333333334</v>
      </c>
      <c r="CC31" s="411">
        <f t="shared" si="19"/>
        <v>215.33333333333334</v>
      </c>
      <c r="CD31" s="411">
        <f t="shared" si="19"/>
        <v>215.33333333333334</v>
      </c>
      <c r="CE31" s="411">
        <f t="shared" si="19"/>
        <v>215.33333333333334</v>
      </c>
      <c r="CF31" s="411">
        <f t="shared" si="19"/>
        <v>215.33333333333334</v>
      </c>
      <c r="CG31" s="411">
        <f t="shared" si="19"/>
        <v>215.33333333333334</v>
      </c>
      <c r="CH31" s="411">
        <f t="shared" si="19"/>
        <v>215.33333333333334</v>
      </c>
      <c r="CI31" s="411">
        <f t="shared" si="19"/>
        <v>215.33333333333334</v>
      </c>
      <c r="CJ31" s="411">
        <f t="shared" si="19"/>
        <v>215.33333333333334</v>
      </c>
      <c r="CK31" s="411">
        <f t="shared" si="19"/>
        <v>215.33333333333334</v>
      </c>
      <c r="CL31" s="411">
        <f t="shared" si="19"/>
        <v>215.33333333333334</v>
      </c>
      <c r="CM31" s="411">
        <f t="shared" si="19"/>
        <v>215.33333333333334</v>
      </c>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c r="EB31" s="58"/>
      <c r="EC31" s="58"/>
      <c r="ED31" s="58"/>
      <c r="EE31" s="58"/>
      <c r="EF31" s="58"/>
      <c r="EG31" s="58"/>
      <c r="EH31" s="58"/>
      <c r="EI31" s="58"/>
      <c r="EJ31" s="58"/>
      <c r="EK31" s="58"/>
      <c r="EL31" s="58"/>
      <c r="EM31" s="58"/>
      <c r="EN31" s="58"/>
      <c r="EO31" s="58"/>
      <c r="EP31" s="58"/>
      <c r="EQ31" s="58"/>
      <c r="ER31" s="58"/>
      <c r="ES31" s="58"/>
      <c r="ET31" s="58"/>
      <c r="EU31" s="58"/>
      <c r="EV31" s="58"/>
      <c r="EW31" s="58"/>
      <c r="EX31" s="58"/>
      <c r="EY31" s="58"/>
      <c r="EZ31" s="58"/>
      <c r="FA31" s="58"/>
      <c r="FB31" s="58"/>
      <c r="FC31" s="58"/>
      <c r="FD31" s="58"/>
      <c r="FE31" s="58"/>
      <c r="FF31" s="58"/>
      <c r="FG31" s="58"/>
      <c r="FH31" s="58"/>
      <c r="FI31" s="58"/>
      <c r="FJ31" s="58"/>
      <c r="FK31" s="58"/>
      <c r="FL31" s="58"/>
      <c r="FM31" s="58"/>
      <c r="FN31" s="58"/>
      <c r="FO31" s="58"/>
      <c r="FP31" s="58"/>
      <c r="FQ31" s="58"/>
      <c r="FR31" s="58"/>
      <c r="FS31" s="58"/>
      <c r="FT31" s="58"/>
      <c r="FU31" s="58"/>
      <c r="FV31" s="58"/>
    </row>
    <row r="32" spans="1:178">
      <c r="A32" s="1058"/>
      <c r="B32" s="2" t="s">
        <v>312</v>
      </c>
      <c r="C32" s="362" t="s">
        <v>313</v>
      </c>
      <c r="D32" s="362">
        <v>1.1900000000000001E-2</v>
      </c>
      <c r="E32" s="58"/>
      <c r="F32" s="27" t="s">
        <v>178</v>
      </c>
      <c r="G32" s="411">
        <f>$D$32*G15</f>
        <v>1597.575</v>
      </c>
      <c r="H32" s="411">
        <f t="shared" ref="H32:BS32" si="20">$D$32*H15</f>
        <v>1597.575</v>
      </c>
      <c r="I32" s="411">
        <f t="shared" si="20"/>
        <v>1597.575</v>
      </c>
      <c r="J32" s="411">
        <f t="shared" si="20"/>
        <v>1597.575</v>
      </c>
      <c r="K32" s="411">
        <f t="shared" si="20"/>
        <v>1597.575</v>
      </c>
      <c r="L32" s="411">
        <f t="shared" si="20"/>
        <v>1597.575</v>
      </c>
      <c r="M32" s="411">
        <f t="shared" si="20"/>
        <v>1597.575</v>
      </c>
      <c r="N32" s="411">
        <f t="shared" si="20"/>
        <v>1597.575</v>
      </c>
      <c r="O32" s="411">
        <f t="shared" si="20"/>
        <v>1597.575</v>
      </c>
      <c r="P32" s="411">
        <f t="shared" si="20"/>
        <v>1597.575</v>
      </c>
      <c r="Q32" s="411">
        <f t="shared" si="20"/>
        <v>1597.575</v>
      </c>
      <c r="R32" s="411">
        <f t="shared" si="20"/>
        <v>1597.575</v>
      </c>
      <c r="S32" s="411">
        <f t="shared" si="20"/>
        <v>1597.575</v>
      </c>
      <c r="T32" s="411">
        <f t="shared" si="20"/>
        <v>1597.575</v>
      </c>
      <c r="U32" s="411">
        <f t="shared" si="20"/>
        <v>1597.575</v>
      </c>
      <c r="V32" s="411">
        <f t="shared" si="20"/>
        <v>1597.575</v>
      </c>
      <c r="W32" s="411">
        <f t="shared" si="20"/>
        <v>1597.575</v>
      </c>
      <c r="X32" s="411">
        <f t="shared" si="20"/>
        <v>1597.575</v>
      </c>
      <c r="Y32" s="411">
        <f t="shared" si="20"/>
        <v>1597.575</v>
      </c>
      <c r="Z32" s="411">
        <f t="shared" si="20"/>
        <v>1597.575</v>
      </c>
      <c r="AA32" s="411">
        <f t="shared" si="20"/>
        <v>1597.575</v>
      </c>
      <c r="AB32" s="411">
        <f t="shared" si="20"/>
        <v>1597.575</v>
      </c>
      <c r="AC32" s="411">
        <f t="shared" si="20"/>
        <v>1597.575</v>
      </c>
      <c r="AD32" s="411">
        <f t="shared" si="20"/>
        <v>1597.575</v>
      </c>
      <c r="AE32" s="411">
        <f t="shared" si="20"/>
        <v>1597.575</v>
      </c>
      <c r="AF32" s="411">
        <f t="shared" si="20"/>
        <v>1597.575</v>
      </c>
      <c r="AG32" s="411">
        <f t="shared" si="20"/>
        <v>1597.575</v>
      </c>
      <c r="AH32" s="411">
        <f t="shared" si="20"/>
        <v>1597.575</v>
      </c>
      <c r="AI32" s="411">
        <f t="shared" si="20"/>
        <v>1597.575</v>
      </c>
      <c r="AJ32" s="411">
        <f t="shared" si="20"/>
        <v>1597.575</v>
      </c>
      <c r="AK32" s="411">
        <f t="shared" si="20"/>
        <v>1597.575</v>
      </c>
      <c r="AL32" s="411">
        <f t="shared" si="20"/>
        <v>1597.575</v>
      </c>
      <c r="AM32" s="411">
        <f t="shared" si="20"/>
        <v>1597.575</v>
      </c>
      <c r="AN32" s="411">
        <f t="shared" si="20"/>
        <v>1597.575</v>
      </c>
      <c r="AO32" s="411">
        <f t="shared" si="20"/>
        <v>1597.575</v>
      </c>
      <c r="AP32" s="411">
        <f t="shared" si="20"/>
        <v>1597.575</v>
      </c>
      <c r="AQ32" s="411">
        <f t="shared" si="20"/>
        <v>1597.575</v>
      </c>
      <c r="AR32" s="411">
        <f t="shared" si="20"/>
        <v>1597.575</v>
      </c>
      <c r="AS32" s="411">
        <f t="shared" si="20"/>
        <v>1597.575</v>
      </c>
      <c r="AT32" s="411">
        <f t="shared" si="20"/>
        <v>1597.575</v>
      </c>
      <c r="AU32" s="411">
        <f t="shared" si="20"/>
        <v>1597.575</v>
      </c>
      <c r="AV32" s="411">
        <f t="shared" si="20"/>
        <v>1597.575</v>
      </c>
      <c r="AW32" s="411">
        <f t="shared" si="20"/>
        <v>1597.575</v>
      </c>
      <c r="AX32" s="411">
        <f t="shared" si="20"/>
        <v>1597.575</v>
      </c>
      <c r="AY32" s="411">
        <f t="shared" si="20"/>
        <v>1597.575</v>
      </c>
      <c r="AZ32" s="411">
        <f t="shared" si="20"/>
        <v>1597.575</v>
      </c>
      <c r="BA32" s="411">
        <f t="shared" si="20"/>
        <v>1597.575</v>
      </c>
      <c r="BB32" s="411">
        <f t="shared" si="20"/>
        <v>1597.575</v>
      </c>
      <c r="BC32" s="411">
        <f t="shared" si="20"/>
        <v>1597.575</v>
      </c>
      <c r="BD32" s="411">
        <f t="shared" si="20"/>
        <v>1597.575</v>
      </c>
      <c r="BE32" s="411">
        <f t="shared" si="20"/>
        <v>1597.575</v>
      </c>
      <c r="BF32" s="411">
        <f t="shared" si="20"/>
        <v>1597.575</v>
      </c>
      <c r="BG32" s="411">
        <f t="shared" si="20"/>
        <v>1597.575</v>
      </c>
      <c r="BH32" s="411">
        <f t="shared" si="20"/>
        <v>1597.575</v>
      </c>
      <c r="BI32" s="411">
        <f t="shared" si="20"/>
        <v>1597.575</v>
      </c>
      <c r="BJ32" s="411">
        <f t="shared" si="20"/>
        <v>1597.575</v>
      </c>
      <c r="BK32" s="411">
        <f t="shared" si="20"/>
        <v>1597.575</v>
      </c>
      <c r="BL32" s="411">
        <f t="shared" si="20"/>
        <v>1597.575</v>
      </c>
      <c r="BM32" s="411">
        <f t="shared" si="20"/>
        <v>1597.575</v>
      </c>
      <c r="BN32" s="411">
        <f t="shared" si="20"/>
        <v>1597.575</v>
      </c>
      <c r="BO32" s="411">
        <f t="shared" si="20"/>
        <v>1597.575</v>
      </c>
      <c r="BP32" s="411">
        <f t="shared" si="20"/>
        <v>1597.575</v>
      </c>
      <c r="BQ32" s="411">
        <f t="shared" si="20"/>
        <v>1597.575</v>
      </c>
      <c r="BR32" s="411">
        <f t="shared" si="20"/>
        <v>1597.575</v>
      </c>
      <c r="BS32" s="411">
        <f t="shared" si="20"/>
        <v>1597.575</v>
      </c>
      <c r="BT32" s="411">
        <f t="shared" ref="BT32:CM32" si="21">$D$32*BT15</f>
        <v>1597.575</v>
      </c>
      <c r="BU32" s="411">
        <f t="shared" si="21"/>
        <v>1597.575</v>
      </c>
      <c r="BV32" s="411">
        <f t="shared" si="21"/>
        <v>1597.575</v>
      </c>
      <c r="BW32" s="411">
        <f t="shared" si="21"/>
        <v>1597.575</v>
      </c>
      <c r="BX32" s="411">
        <f t="shared" si="21"/>
        <v>1597.575</v>
      </c>
      <c r="BY32" s="411">
        <f t="shared" si="21"/>
        <v>1597.575</v>
      </c>
      <c r="BZ32" s="411">
        <f t="shared" si="21"/>
        <v>1597.575</v>
      </c>
      <c r="CA32" s="411">
        <f t="shared" si="21"/>
        <v>1597.575</v>
      </c>
      <c r="CB32" s="411">
        <f t="shared" si="21"/>
        <v>1597.575</v>
      </c>
      <c r="CC32" s="411">
        <f t="shared" si="21"/>
        <v>1597.575</v>
      </c>
      <c r="CD32" s="411">
        <f t="shared" si="21"/>
        <v>1597.575</v>
      </c>
      <c r="CE32" s="411">
        <f t="shared" si="21"/>
        <v>1597.575</v>
      </c>
      <c r="CF32" s="411">
        <f t="shared" si="21"/>
        <v>1597.575</v>
      </c>
      <c r="CG32" s="411">
        <f t="shared" si="21"/>
        <v>1597.575</v>
      </c>
      <c r="CH32" s="411">
        <f t="shared" si="21"/>
        <v>1597.575</v>
      </c>
      <c r="CI32" s="411">
        <f t="shared" si="21"/>
        <v>1597.575</v>
      </c>
      <c r="CJ32" s="411">
        <f t="shared" si="21"/>
        <v>1597.575</v>
      </c>
      <c r="CK32" s="411">
        <f t="shared" si="21"/>
        <v>1597.575</v>
      </c>
      <c r="CL32" s="411">
        <f t="shared" si="21"/>
        <v>1597.575</v>
      </c>
      <c r="CM32" s="411">
        <f t="shared" si="21"/>
        <v>1597.575</v>
      </c>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c r="EB32" s="58"/>
      <c r="EC32" s="58"/>
      <c r="ED32" s="58"/>
      <c r="EE32" s="58"/>
      <c r="EF32" s="58"/>
      <c r="EG32" s="58"/>
      <c r="EH32" s="58"/>
      <c r="EI32" s="58"/>
      <c r="EJ32" s="58"/>
      <c r="EK32" s="58"/>
      <c r="EL32" s="58"/>
      <c r="EM32" s="58"/>
      <c r="EN32" s="58"/>
      <c r="EO32" s="58"/>
      <c r="EP32" s="58"/>
      <c r="EQ32" s="58"/>
      <c r="ER32" s="58"/>
      <c r="ES32" s="58"/>
      <c r="ET32" s="58"/>
      <c r="EU32" s="58"/>
      <c r="EV32" s="58"/>
      <c r="EW32" s="58"/>
      <c r="EX32" s="58"/>
      <c r="EY32" s="58"/>
      <c r="EZ32" s="58"/>
      <c r="FA32" s="58"/>
      <c r="FB32" s="58"/>
      <c r="FC32" s="58"/>
      <c r="FD32" s="58"/>
      <c r="FE32" s="58"/>
      <c r="FF32" s="58"/>
      <c r="FG32" s="58"/>
      <c r="FH32" s="58"/>
      <c r="FI32" s="58"/>
      <c r="FJ32" s="58"/>
      <c r="FK32" s="58"/>
      <c r="FL32" s="58"/>
      <c r="FM32" s="58"/>
      <c r="FN32" s="58"/>
      <c r="FO32" s="58"/>
      <c r="FP32" s="58"/>
      <c r="FQ32" s="58"/>
      <c r="FR32" s="58"/>
      <c r="FS32" s="58"/>
      <c r="FT32" s="58"/>
      <c r="FU32" s="58"/>
      <c r="FV32" s="58"/>
    </row>
    <row r="33" spans="1:179">
      <c r="A33" s="1059"/>
      <c r="B33" s="224" t="s">
        <v>312</v>
      </c>
      <c r="C33" s="367" t="s">
        <v>313</v>
      </c>
      <c r="D33" s="416">
        <f>1.50375/1000</f>
        <v>1.5037499999999999E-3</v>
      </c>
      <c r="E33" s="236"/>
      <c r="F33" s="417" t="s">
        <v>179</v>
      </c>
      <c r="G33" s="418">
        <v>166.44858374999998</v>
      </c>
      <c r="H33" s="418">
        <v>166.44858374999998</v>
      </c>
      <c r="I33" s="418">
        <v>166.44858374999998</v>
      </c>
      <c r="J33" s="418">
        <v>166.44858374999998</v>
      </c>
      <c r="K33" s="418">
        <v>166.44858374999998</v>
      </c>
      <c r="L33" s="418">
        <v>166.44858374999998</v>
      </c>
      <c r="M33" s="418">
        <v>166.44858374999998</v>
      </c>
      <c r="N33" s="418">
        <v>166.44858374999998</v>
      </c>
      <c r="O33" s="418">
        <v>166.44858374999998</v>
      </c>
      <c r="P33" s="418">
        <v>166.44858374999998</v>
      </c>
      <c r="Q33" s="418">
        <v>166.44858374999998</v>
      </c>
      <c r="R33" s="418">
        <v>166.44858374999998</v>
      </c>
      <c r="S33" s="418">
        <v>166.44858374999998</v>
      </c>
      <c r="T33" s="418">
        <f t="shared" ref="T33:AS33" si="22">T16*$D$33</f>
        <v>168.87511220645587</v>
      </c>
      <c r="U33" s="418">
        <f t="shared" si="22"/>
        <v>168.87511220645587</v>
      </c>
      <c r="V33" s="418">
        <f t="shared" si="22"/>
        <v>168.87511220645587</v>
      </c>
      <c r="W33" s="418">
        <f t="shared" si="22"/>
        <v>168.87511220645587</v>
      </c>
      <c r="X33" s="418">
        <f t="shared" si="22"/>
        <v>168.87511220645587</v>
      </c>
      <c r="Y33" s="418">
        <f t="shared" si="22"/>
        <v>168.87511220645587</v>
      </c>
      <c r="Z33" s="418">
        <f t="shared" si="22"/>
        <v>168.87511220645587</v>
      </c>
      <c r="AA33" s="418">
        <f t="shared" si="22"/>
        <v>168.87511220645587</v>
      </c>
      <c r="AB33" s="418">
        <f t="shared" si="22"/>
        <v>168.87511220645587</v>
      </c>
      <c r="AC33" s="418">
        <f t="shared" si="22"/>
        <v>168.87511220645587</v>
      </c>
      <c r="AD33" s="418">
        <f t="shared" si="22"/>
        <v>168.87511220645587</v>
      </c>
      <c r="AE33" s="418">
        <f t="shared" si="22"/>
        <v>168.87511220645587</v>
      </c>
      <c r="AF33" s="418">
        <f t="shared" si="22"/>
        <v>168.87511220645587</v>
      </c>
      <c r="AG33" s="418">
        <f t="shared" si="22"/>
        <v>168.87511220645587</v>
      </c>
      <c r="AH33" s="418">
        <f t="shared" si="22"/>
        <v>168.87511220645587</v>
      </c>
      <c r="AI33" s="418">
        <f t="shared" si="22"/>
        <v>168.87511220645587</v>
      </c>
      <c r="AJ33" s="418">
        <f t="shared" si="22"/>
        <v>168.87511220645587</v>
      </c>
      <c r="AK33" s="418">
        <f t="shared" si="22"/>
        <v>168.87511220645587</v>
      </c>
      <c r="AL33" s="418">
        <f t="shared" si="22"/>
        <v>168.87511220645587</v>
      </c>
      <c r="AM33" s="418">
        <f t="shared" si="22"/>
        <v>168.87511220645587</v>
      </c>
      <c r="AN33" s="418">
        <f t="shared" si="22"/>
        <v>168.87511220645587</v>
      </c>
      <c r="AO33" s="418">
        <f t="shared" si="22"/>
        <v>168.87511220645587</v>
      </c>
      <c r="AP33" s="418">
        <f t="shared" si="22"/>
        <v>168.87511220645587</v>
      </c>
      <c r="AQ33" s="418">
        <f t="shared" si="22"/>
        <v>168.87511220645587</v>
      </c>
      <c r="AR33" s="418">
        <f t="shared" si="22"/>
        <v>168.87511220645587</v>
      </c>
      <c r="AS33" s="418">
        <f t="shared" si="22"/>
        <v>168.87511220645587</v>
      </c>
      <c r="AT33" s="418">
        <f>AT16*$D$33</f>
        <v>168.87511220645587</v>
      </c>
      <c r="AU33" s="419">
        <f t="shared" ref="AU33:CL33" si="23">AU16*$D$33</f>
        <v>168.87511220645587</v>
      </c>
      <c r="AV33" s="419">
        <f t="shared" si="23"/>
        <v>168.87511220645587</v>
      </c>
      <c r="AW33" s="419">
        <f t="shared" si="23"/>
        <v>168.87511220645587</v>
      </c>
      <c r="AX33" s="419">
        <f t="shared" si="23"/>
        <v>168.87511220645587</v>
      </c>
      <c r="AY33" s="419">
        <f t="shared" si="23"/>
        <v>168.87511220645587</v>
      </c>
      <c r="AZ33" s="419">
        <f t="shared" si="23"/>
        <v>168.87511220645587</v>
      </c>
      <c r="BA33" s="419">
        <f t="shared" si="23"/>
        <v>168.87511220645587</v>
      </c>
      <c r="BB33" s="419">
        <f t="shared" si="23"/>
        <v>168.87511220645587</v>
      </c>
      <c r="BC33" s="419">
        <f t="shared" si="23"/>
        <v>168.87511220645587</v>
      </c>
      <c r="BD33" s="419">
        <f t="shared" si="23"/>
        <v>168.87511220645587</v>
      </c>
      <c r="BE33" s="419">
        <f t="shared" si="23"/>
        <v>168.87511220645587</v>
      </c>
      <c r="BF33" s="419">
        <f t="shared" si="23"/>
        <v>168.87511220645587</v>
      </c>
      <c r="BG33" s="419">
        <f t="shared" si="23"/>
        <v>168.87511220645587</v>
      </c>
      <c r="BH33" s="419">
        <f t="shared" si="23"/>
        <v>168.87511220645587</v>
      </c>
      <c r="BI33" s="419">
        <f t="shared" si="23"/>
        <v>168.87511220645587</v>
      </c>
      <c r="BJ33" s="419">
        <f t="shared" si="23"/>
        <v>168.87511220645587</v>
      </c>
      <c r="BK33" s="419">
        <f t="shared" si="23"/>
        <v>168.87511220645587</v>
      </c>
      <c r="BL33" s="419">
        <f t="shared" si="23"/>
        <v>168.87511220645587</v>
      </c>
      <c r="BM33" s="419">
        <f t="shared" si="23"/>
        <v>168.87511220645587</v>
      </c>
      <c r="BN33" s="419">
        <f t="shared" si="23"/>
        <v>168.87511220645587</v>
      </c>
      <c r="BO33" s="419">
        <f t="shared" si="23"/>
        <v>168.87511220645587</v>
      </c>
      <c r="BP33" s="419">
        <f t="shared" si="23"/>
        <v>168.87511220645587</v>
      </c>
      <c r="BQ33" s="419">
        <f t="shared" si="23"/>
        <v>168.87511220645587</v>
      </c>
      <c r="BR33" s="419">
        <f t="shared" si="23"/>
        <v>168.87511220645587</v>
      </c>
      <c r="BS33" s="419">
        <f t="shared" si="23"/>
        <v>168.87511220645587</v>
      </c>
      <c r="BT33" s="419">
        <f t="shared" si="23"/>
        <v>168.87511220645587</v>
      </c>
      <c r="BU33" s="419">
        <f t="shared" si="23"/>
        <v>168.87511220645587</v>
      </c>
      <c r="BV33" s="419">
        <f t="shared" si="23"/>
        <v>168.87511220645587</v>
      </c>
      <c r="BW33" s="419">
        <f t="shared" si="23"/>
        <v>168.87511220645587</v>
      </c>
      <c r="BX33" s="419">
        <f t="shared" si="23"/>
        <v>168.87511220645587</v>
      </c>
      <c r="BY33" s="419">
        <f t="shared" si="23"/>
        <v>168.87511220645587</v>
      </c>
      <c r="BZ33" s="419">
        <f t="shared" si="23"/>
        <v>168.87511220645587</v>
      </c>
      <c r="CA33" s="419">
        <f t="shared" si="23"/>
        <v>168.87511220645587</v>
      </c>
      <c r="CB33" s="419">
        <f t="shared" si="23"/>
        <v>168.87511220645587</v>
      </c>
      <c r="CC33" s="419">
        <f t="shared" si="23"/>
        <v>168.87511220645587</v>
      </c>
      <c r="CD33" s="419">
        <f t="shared" si="23"/>
        <v>168.87511220645587</v>
      </c>
      <c r="CE33" s="419">
        <f t="shared" si="23"/>
        <v>168.87511220645587</v>
      </c>
      <c r="CF33" s="419">
        <f t="shared" si="23"/>
        <v>168.87511220645587</v>
      </c>
      <c r="CG33" s="419">
        <f t="shared" si="23"/>
        <v>168.87511220645587</v>
      </c>
      <c r="CH33" s="419">
        <f t="shared" si="23"/>
        <v>168.87511220645587</v>
      </c>
      <c r="CI33" s="419">
        <f t="shared" si="23"/>
        <v>168.87511220645587</v>
      </c>
      <c r="CJ33" s="419">
        <f t="shared" si="23"/>
        <v>168.87511220645587</v>
      </c>
      <c r="CK33" s="419">
        <f t="shared" si="23"/>
        <v>168.87511220645587</v>
      </c>
      <c r="CL33" s="420">
        <f t="shared" si="23"/>
        <v>168.87511220645587</v>
      </c>
      <c r="CM33" s="363">
        <f t="shared" ref="CM33:CM57" si="24">AVERAGE(G33:CL33)</f>
        <v>168.49957804057544</v>
      </c>
      <c r="CN33" s="58"/>
      <c r="CO33" s="421">
        <v>41883</v>
      </c>
      <c r="CP33" s="421">
        <v>41913</v>
      </c>
      <c r="CQ33" s="421">
        <v>41944</v>
      </c>
      <c r="CR33" s="421">
        <v>41974</v>
      </c>
      <c r="CS33" s="421">
        <v>42005</v>
      </c>
      <c r="CT33" s="421">
        <v>42036</v>
      </c>
      <c r="CU33" s="421">
        <v>42064</v>
      </c>
      <c r="CV33" s="421">
        <v>42095</v>
      </c>
      <c r="CW33" s="421">
        <v>42125</v>
      </c>
      <c r="CX33" s="421">
        <v>42156</v>
      </c>
      <c r="CY33" s="421">
        <v>42186</v>
      </c>
      <c r="CZ33" s="421">
        <v>42217</v>
      </c>
      <c r="DA33" s="421">
        <v>42248</v>
      </c>
      <c r="DB33" s="421">
        <v>42278</v>
      </c>
      <c r="DC33" s="421">
        <v>42309</v>
      </c>
      <c r="DD33" s="421">
        <v>42339</v>
      </c>
      <c r="DE33" s="421">
        <v>42370</v>
      </c>
      <c r="DF33" s="421">
        <v>42401</v>
      </c>
      <c r="DG33" s="421">
        <v>42430</v>
      </c>
      <c r="DH33" s="421">
        <v>42461</v>
      </c>
      <c r="DI33" s="421">
        <v>42491</v>
      </c>
      <c r="DJ33" s="421">
        <v>42522</v>
      </c>
      <c r="DK33" s="421">
        <v>42552</v>
      </c>
      <c r="DL33" s="421">
        <v>42583</v>
      </c>
      <c r="DM33" s="421">
        <v>42614</v>
      </c>
      <c r="DN33" s="421">
        <v>42644</v>
      </c>
      <c r="DO33" s="421">
        <v>42675</v>
      </c>
      <c r="DP33" s="421">
        <v>42705</v>
      </c>
      <c r="DQ33" s="421">
        <v>42736</v>
      </c>
      <c r="DR33" s="421">
        <v>42767</v>
      </c>
      <c r="DS33" s="421">
        <v>42795</v>
      </c>
      <c r="DT33" s="421">
        <v>42826</v>
      </c>
      <c r="DU33" s="421">
        <v>42856</v>
      </c>
      <c r="DV33" s="421">
        <v>42887</v>
      </c>
      <c r="DW33" s="421">
        <v>42917</v>
      </c>
      <c r="DX33" s="421">
        <v>42948</v>
      </c>
      <c r="DY33" s="421">
        <v>42979</v>
      </c>
      <c r="DZ33" s="421">
        <v>43009</v>
      </c>
      <c r="EA33" s="421">
        <v>43040</v>
      </c>
      <c r="EB33" s="421">
        <v>43070</v>
      </c>
      <c r="EC33" s="421">
        <v>43101</v>
      </c>
      <c r="ED33" s="421">
        <v>43132</v>
      </c>
      <c r="EE33" s="421">
        <v>43160</v>
      </c>
      <c r="EF33" s="421">
        <v>43191</v>
      </c>
      <c r="EG33" s="421">
        <v>43221</v>
      </c>
      <c r="EH33" s="421">
        <v>43252</v>
      </c>
      <c r="EI33" s="421">
        <v>43282</v>
      </c>
      <c r="EJ33" s="421">
        <v>43313</v>
      </c>
      <c r="EK33" s="421">
        <v>43344</v>
      </c>
      <c r="EL33" s="421">
        <v>43374</v>
      </c>
      <c r="EM33" s="421">
        <v>43405</v>
      </c>
      <c r="EN33" s="421">
        <v>43435</v>
      </c>
      <c r="EO33" s="421">
        <v>43466</v>
      </c>
      <c r="EP33" s="421">
        <v>43497</v>
      </c>
      <c r="EQ33" s="421">
        <v>43525</v>
      </c>
      <c r="ER33" s="421">
        <v>43556</v>
      </c>
      <c r="ES33" s="421">
        <v>43586</v>
      </c>
      <c r="ET33" s="421">
        <v>43617</v>
      </c>
      <c r="EU33" s="421">
        <v>43647</v>
      </c>
      <c r="EV33" s="421">
        <v>43678</v>
      </c>
      <c r="EW33" s="421">
        <v>43709</v>
      </c>
      <c r="EX33" s="421">
        <v>43739</v>
      </c>
      <c r="EY33" s="421">
        <v>43770</v>
      </c>
      <c r="EZ33" s="421">
        <v>43800</v>
      </c>
      <c r="FA33" s="421">
        <v>43831</v>
      </c>
      <c r="FB33" s="421">
        <v>43862</v>
      </c>
      <c r="FC33" s="421">
        <v>43891</v>
      </c>
      <c r="FD33" s="421">
        <v>43922</v>
      </c>
      <c r="FE33" s="421">
        <v>43952</v>
      </c>
      <c r="FF33" s="421">
        <v>43983</v>
      </c>
      <c r="FG33" s="421">
        <v>44013</v>
      </c>
      <c r="FH33" s="421">
        <v>44044</v>
      </c>
      <c r="FI33" s="421">
        <v>44075</v>
      </c>
      <c r="FJ33" s="421">
        <v>44105</v>
      </c>
      <c r="FK33" s="421">
        <v>44136</v>
      </c>
      <c r="FL33" s="421">
        <v>44166</v>
      </c>
      <c r="FM33" s="421">
        <v>44197</v>
      </c>
      <c r="FN33" s="421">
        <v>44228</v>
      </c>
      <c r="FO33" s="421">
        <v>44256</v>
      </c>
      <c r="FP33" s="421">
        <v>44287</v>
      </c>
      <c r="FQ33" s="421">
        <v>44317</v>
      </c>
      <c r="FR33" s="421">
        <v>44348</v>
      </c>
      <c r="FS33" s="421">
        <v>44378</v>
      </c>
      <c r="FT33" s="421">
        <v>44409</v>
      </c>
      <c r="FU33" s="421">
        <v>44440</v>
      </c>
      <c r="FV33" s="371"/>
    </row>
    <row r="34" spans="1:179" ht="15" customHeight="1">
      <c r="A34" s="1073" t="s">
        <v>106</v>
      </c>
      <c r="B34" s="398" t="s">
        <v>307</v>
      </c>
      <c r="C34" s="399" t="s">
        <v>313</v>
      </c>
      <c r="D34" s="399">
        <v>1.61</v>
      </c>
      <c r="E34" s="1066" t="s">
        <v>316</v>
      </c>
      <c r="F34" s="422" t="s">
        <v>142</v>
      </c>
      <c r="G34" s="423">
        <f t="shared" ref="G34:R34" si="25">$D$34*G16</f>
        <v>180807.2689292728</v>
      </c>
      <c r="H34" s="423">
        <f t="shared" si="25"/>
        <v>180807.2689292728</v>
      </c>
      <c r="I34" s="423">
        <f t="shared" si="25"/>
        <v>180807.2689292728</v>
      </c>
      <c r="J34" s="423">
        <f t="shared" si="25"/>
        <v>180807.2689292728</v>
      </c>
      <c r="K34" s="423">
        <f t="shared" si="25"/>
        <v>180807.2689292728</v>
      </c>
      <c r="L34" s="423">
        <f t="shared" si="25"/>
        <v>180807.2689292728</v>
      </c>
      <c r="M34" s="423">
        <f t="shared" si="25"/>
        <v>180807.2689292728</v>
      </c>
      <c r="N34" s="423">
        <f t="shared" si="25"/>
        <v>180807.2689292728</v>
      </c>
      <c r="O34" s="423">
        <f t="shared" si="25"/>
        <v>180807.2689292728</v>
      </c>
      <c r="P34" s="423">
        <f t="shared" si="25"/>
        <v>180807.2689292728</v>
      </c>
      <c r="Q34" s="423">
        <f t="shared" si="25"/>
        <v>180807.2689292728</v>
      </c>
      <c r="R34" s="423">
        <f t="shared" si="25"/>
        <v>180807.2689292728</v>
      </c>
      <c r="S34" s="423">
        <f>$D$34*S16</f>
        <v>180807.2689292728</v>
      </c>
      <c r="T34" s="423">
        <f t="shared" ref="T34:CE34" si="26">$D$34*T16</f>
        <v>180807.2689292728</v>
      </c>
      <c r="U34" s="423">
        <f t="shared" si="26"/>
        <v>180807.2689292728</v>
      </c>
      <c r="V34" s="423">
        <f t="shared" si="26"/>
        <v>180807.2689292728</v>
      </c>
      <c r="W34" s="423">
        <f t="shared" si="26"/>
        <v>180807.2689292728</v>
      </c>
      <c r="X34" s="423">
        <f t="shared" si="26"/>
        <v>180807.2689292728</v>
      </c>
      <c r="Y34" s="423">
        <f t="shared" si="26"/>
        <v>180807.2689292728</v>
      </c>
      <c r="Z34" s="423">
        <f t="shared" si="26"/>
        <v>180807.2689292728</v>
      </c>
      <c r="AA34" s="423">
        <f t="shared" si="26"/>
        <v>180807.2689292728</v>
      </c>
      <c r="AB34" s="423">
        <f t="shared" si="26"/>
        <v>180807.2689292728</v>
      </c>
      <c r="AC34" s="423">
        <f t="shared" si="26"/>
        <v>180807.2689292728</v>
      </c>
      <c r="AD34" s="423">
        <f t="shared" si="26"/>
        <v>180807.2689292728</v>
      </c>
      <c r="AE34" s="423">
        <f t="shared" si="26"/>
        <v>180807.2689292728</v>
      </c>
      <c r="AF34" s="423">
        <f t="shared" si="26"/>
        <v>180807.2689292728</v>
      </c>
      <c r="AG34" s="423">
        <f t="shared" si="26"/>
        <v>180807.2689292728</v>
      </c>
      <c r="AH34" s="423">
        <f t="shared" si="26"/>
        <v>180807.2689292728</v>
      </c>
      <c r="AI34" s="423">
        <f t="shared" si="26"/>
        <v>180807.2689292728</v>
      </c>
      <c r="AJ34" s="423">
        <f t="shared" si="26"/>
        <v>180807.2689292728</v>
      </c>
      <c r="AK34" s="423">
        <f t="shared" si="26"/>
        <v>180807.2689292728</v>
      </c>
      <c r="AL34" s="423">
        <f t="shared" si="26"/>
        <v>180807.2689292728</v>
      </c>
      <c r="AM34" s="423">
        <f t="shared" si="26"/>
        <v>180807.2689292728</v>
      </c>
      <c r="AN34" s="423">
        <f t="shared" si="26"/>
        <v>180807.2689292728</v>
      </c>
      <c r="AO34" s="423">
        <f t="shared" si="26"/>
        <v>180807.2689292728</v>
      </c>
      <c r="AP34" s="423">
        <f t="shared" si="26"/>
        <v>180807.2689292728</v>
      </c>
      <c r="AQ34" s="423">
        <f t="shared" si="26"/>
        <v>180807.2689292728</v>
      </c>
      <c r="AR34" s="423">
        <f t="shared" si="26"/>
        <v>180807.2689292728</v>
      </c>
      <c r="AS34" s="423">
        <f t="shared" si="26"/>
        <v>180807.2689292728</v>
      </c>
      <c r="AT34" s="423">
        <f t="shared" si="26"/>
        <v>180807.2689292728</v>
      </c>
      <c r="AU34" s="424">
        <f t="shared" si="26"/>
        <v>180807.2689292728</v>
      </c>
      <c r="AV34" s="424">
        <f t="shared" si="26"/>
        <v>180807.2689292728</v>
      </c>
      <c r="AW34" s="424">
        <f t="shared" si="26"/>
        <v>180807.2689292728</v>
      </c>
      <c r="AX34" s="424">
        <f t="shared" si="26"/>
        <v>180807.2689292728</v>
      </c>
      <c r="AY34" s="424">
        <f t="shared" si="26"/>
        <v>180807.2689292728</v>
      </c>
      <c r="AZ34" s="424">
        <f t="shared" si="26"/>
        <v>180807.2689292728</v>
      </c>
      <c r="BA34" s="424">
        <f t="shared" si="26"/>
        <v>180807.2689292728</v>
      </c>
      <c r="BB34" s="424">
        <f t="shared" si="26"/>
        <v>180807.2689292728</v>
      </c>
      <c r="BC34" s="424">
        <f t="shared" si="26"/>
        <v>180807.2689292728</v>
      </c>
      <c r="BD34" s="424">
        <f t="shared" si="26"/>
        <v>180807.2689292728</v>
      </c>
      <c r="BE34" s="424">
        <f t="shared" si="26"/>
        <v>180807.2689292728</v>
      </c>
      <c r="BF34" s="424">
        <f t="shared" si="26"/>
        <v>180807.2689292728</v>
      </c>
      <c r="BG34" s="424">
        <f t="shared" si="26"/>
        <v>180807.2689292728</v>
      </c>
      <c r="BH34" s="424">
        <f t="shared" si="26"/>
        <v>180807.2689292728</v>
      </c>
      <c r="BI34" s="424">
        <f t="shared" si="26"/>
        <v>180807.2689292728</v>
      </c>
      <c r="BJ34" s="424">
        <f t="shared" si="26"/>
        <v>180807.2689292728</v>
      </c>
      <c r="BK34" s="424">
        <f t="shared" si="26"/>
        <v>180807.2689292728</v>
      </c>
      <c r="BL34" s="424">
        <f t="shared" si="26"/>
        <v>180807.2689292728</v>
      </c>
      <c r="BM34" s="424">
        <f t="shared" si="26"/>
        <v>180807.2689292728</v>
      </c>
      <c r="BN34" s="424">
        <f t="shared" si="26"/>
        <v>180807.2689292728</v>
      </c>
      <c r="BO34" s="424">
        <f t="shared" si="26"/>
        <v>180807.2689292728</v>
      </c>
      <c r="BP34" s="424">
        <f t="shared" si="26"/>
        <v>180807.2689292728</v>
      </c>
      <c r="BQ34" s="424">
        <f t="shared" si="26"/>
        <v>180807.2689292728</v>
      </c>
      <c r="BR34" s="424">
        <f t="shared" si="26"/>
        <v>180807.2689292728</v>
      </c>
      <c r="BS34" s="424">
        <f t="shared" si="26"/>
        <v>180807.2689292728</v>
      </c>
      <c r="BT34" s="424">
        <f t="shared" si="26"/>
        <v>180807.2689292728</v>
      </c>
      <c r="BU34" s="424">
        <f t="shared" si="26"/>
        <v>180807.2689292728</v>
      </c>
      <c r="BV34" s="424">
        <f t="shared" si="26"/>
        <v>180807.2689292728</v>
      </c>
      <c r="BW34" s="424">
        <f t="shared" si="26"/>
        <v>180807.2689292728</v>
      </c>
      <c r="BX34" s="424">
        <f t="shared" si="26"/>
        <v>180807.2689292728</v>
      </c>
      <c r="BY34" s="424">
        <f t="shared" si="26"/>
        <v>180807.2689292728</v>
      </c>
      <c r="BZ34" s="424">
        <f t="shared" si="26"/>
        <v>180807.2689292728</v>
      </c>
      <c r="CA34" s="424">
        <f t="shared" si="26"/>
        <v>180807.2689292728</v>
      </c>
      <c r="CB34" s="424">
        <f t="shared" si="26"/>
        <v>180807.2689292728</v>
      </c>
      <c r="CC34" s="424">
        <f t="shared" si="26"/>
        <v>180807.2689292728</v>
      </c>
      <c r="CD34" s="424">
        <f t="shared" si="26"/>
        <v>180807.2689292728</v>
      </c>
      <c r="CE34" s="424">
        <f t="shared" si="26"/>
        <v>180807.2689292728</v>
      </c>
      <c r="CF34" s="424">
        <f t="shared" ref="CF34:CL34" si="27">$D$34*CF16</f>
        <v>180807.2689292728</v>
      </c>
      <c r="CG34" s="424">
        <f t="shared" si="27"/>
        <v>180807.2689292728</v>
      </c>
      <c r="CH34" s="424">
        <f t="shared" si="27"/>
        <v>180807.2689292728</v>
      </c>
      <c r="CI34" s="424">
        <f t="shared" si="27"/>
        <v>180807.2689292728</v>
      </c>
      <c r="CJ34" s="424">
        <f t="shared" si="27"/>
        <v>180807.2689292728</v>
      </c>
      <c r="CK34" s="424">
        <f t="shared" si="27"/>
        <v>180807.2689292728</v>
      </c>
      <c r="CL34" s="422">
        <f t="shared" si="27"/>
        <v>180807.2689292728</v>
      </c>
      <c r="CM34" s="425">
        <f t="shared" si="24"/>
        <v>180807.26892927286</v>
      </c>
      <c r="CN34" s="426" t="s">
        <v>319</v>
      </c>
      <c r="CO34" s="427">
        <v>6.12</v>
      </c>
      <c r="CP34" s="427">
        <v>6.12</v>
      </c>
      <c r="CQ34" s="427">
        <v>6.12</v>
      </c>
      <c r="CR34" s="427">
        <v>6.12</v>
      </c>
      <c r="CS34" s="427">
        <v>6.24</v>
      </c>
      <c r="CT34" s="427">
        <v>6.24</v>
      </c>
      <c r="CU34" s="427">
        <v>6.28</v>
      </c>
      <c r="CV34" s="427">
        <v>6.28</v>
      </c>
      <c r="CW34" s="427">
        <v>6.32</v>
      </c>
      <c r="CX34" s="427">
        <v>6.32</v>
      </c>
      <c r="CY34" s="427">
        <v>6.47</v>
      </c>
      <c r="CZ34" s="427">
        <v>6.47</v>
      </c>
      <c r="DA34" s="427">
        <v>6.47</v>
      </c>
      <c r="DB34" s="427">
        <v>6.51</v>
      </c>
      <c r="DC34" s="427">
        <v>6.6447253073219397</v>
      </c>
      <c r="DD34" s="427">
        <v>6.6592391374311397</v>
      </c>
      <c r="DE34" s="427">
        <v>6.6737529675403398</v>
      </c>
      <c r="DF34" s="427">
        <v>6.6882667976495496</v>
      </c>
      <c r="DG34" s="427">
        <v>6.7027806277587496</v>
      </c>
      <c r="DH34" s="427">
        <v>6.7172944578679497</v>
      </c>
      <c r="DI34" s="427">
        <v>6.7318082879771604</v>
      </c>
      <c r="DJ34" s="427">
        <v>6.7463221180863604</v>
      </c>
      <c r="DK34" s="427">
        <v>6.7608359481955604</v>
      </c>
      <c r="DL34" s="427">
        <v>6.7753497783047703</v>
      </c>
      <c r="DM34" s="427">
        <v>6.7898636084139703</v>
      </c>
      <c r="DN34" s="427">
        <v>6.91</v>
      </c>
      <c r="DO34" s="427">
        <v>6.8188912686323802</v>
      </c>
      <c r="DP34" s="427">
        <v>6.86</v>
      </c>
      <c r="DQ34" s="427">
        <v>6.8479189288507802</v>
      </c>
      <c r="DR34" s="427">
        <v>6.8624327589599803</v>
      </c>
      <c r="DS34" s="427">
        <v>6.8769465890691901</v>
      </c>
      <c r="DT34" s="427">
        <v>6.8914604191783901</v>
      </c>
      <c r="DU34" s="427">
        <v>6.9059742492875902</v>
      </c>
      <c r="DV34" s="427">
        <v>6.9204880793968</v>
      </c>
      <c r="DW34" s="427">
        <v>6.935001909506</v>
      </c>
      <c r="DX34" s="427">
        <v>6.9495157396152001</v>
      </c>
      <c r="DY34" s="427">
        <v>6.9640295697244099</v>
      </c>
      <c r="DZ34" s="427">
        <v>6.9785433998336099</v>
      </c>
      <c r="EA34" s="427">
        <v>6.99305722994281</v>
      </c>
      <c r="EB34" s="427">
        <v>7.0075710600520198</v>
      </c>
      <c r="EC34" s="427">
        <v>5.2450000000000001</v>
      </c>
      <c r="ED34" s="427">
        <v>7.48</v>
      </c>
      <c r="EE34" s="427">
        <v>7.6002255138846202</v>
      </c>
      <c r="EF34" s="427">
        <v>6.65</v>
      </c>
      <c r="EG34" s="427">
        <v>6.77</v>
      </c>
      <c r="EH34" s="427">
        <v>6.83</v>
      </c>
      <c r="EI34" s="427">
        <v>8.23</v>
      </c>
      <c r="EJ34" s="427">
        <v>8.2200000000000006</v>
      </c>
      <c r="EK34" s="427">
        <v>7.32</v>
      </c>
      <c r="EL34" s="427">
        <v>8.18</v>
      </c>
      <c r="EM34" s="427">
        <v>7.53</v>
      </c>
      <c r="EN34" s="427">
        <v>7.13</v>
      </c>
      <c r="EO34" s="427">
        <v>6.42</v>
      </c>
      <c r="EP34" s="427">
        <v>7.18</v>
      </c>
      <c r="EQ34" s="427">
        <v>6.07</v>
      </c>
      <c r="ER34" s="427">
        <v>4.8415999999999997</v>
      </c>
      <c r="ES34" s="427">
        <v>4.8899999999999997</v>
      </c>
      <c r="ET34" s="427">
        <v>5.4</v>
      </c>
      <c r="EU34" s="427">
        <v>5.84</v>
      </c>
      <c r="EV34" s="427">
        <v>5.76</v>
      </c>
      <c r="EW34" s="427">
        <v>5.46</v>
      </c>
      <c r="EX34" s="427">
        <v>6.36</v>
      </c>
      <c r="EY34" s="427">
        <v>6.17</v>
      </c>
      <c r="EZ34" s="427">
        <v>6.84</v>
      </c>
      <c r="FA34" s="427">
        <v>5.67</v>
      </c>
      <c r="FB34" s="427">
        <v>5.33</v>
      </c>
      <c r="FC34" s="427">
        <v>3.69</v>
      </c>
      <c r="FD34" s="427">
        <v>4.9800000000000004</v>
      </c>
      <c r="FE34" s="427">
        <v>4.4800000000000004</v>
      </c>
      <c r="FF34" s="427">
        <v>3</v>
      </c>
      <c r="FG34" s="427">
        <v>2.6</v>
      </c>
      <c r="FH34" s="427">
        <v>3.43</v>
      </c>
      <c r="FI34" s="427">
        <v>4.3499999999999996</v>
      </c>
      <c r="FJ34" s="427">
        <v>4.68</v>
      </c>
      <c r="FK34" s="427">
        <v>5.0999999999999996</v>
      </c>
      <c r="FL34" s="427">
        <v>6.03</v>
      </c>
      <c r="FM34" s="427">
        <v>6.67</v>
      </c>
      <c r="FN34" s="427">
        <v>8.02</v>
      </c>
      <c r="FO34" s="427">
        <v>7.23</v>
      </c>
      <c r="FP34" s="427">
        <v>5.36</v>
      </c>
      <c r="FQ34" s="427">
        <v>5.15</v>
      </c>
      <c r="FR34" s="427">
        <v>5.64</v>
      </c>
      <c r="FS34" s="427">
        <v>6.42</v>
      </c>
      <c r="FT34" s="427">
        <v>7.17</v>
      </c>
      <c r="FU34" s="427">
        <v>7.47</v>
      </c>
      <c r="FV34" s="428">
        <f t="shared" ref="FV34:FV41" si="28">AVERAGE(EC34:FU34)</f>
        <v>6.0197072336418813</v>
      </c>
      <c r="FW34" s="312"/>
    </row>
    <row r="35" spans="1:179">
      <c r="A35" s="1074"/>
      <c r="B35" s="398" t="s">
        <v>307</v>
      </c>
      <c r="C35" s="399" t="s">
        <v>313</v>
      </c>
      <c r="D35" s="399">
        <v>514.32000000000005</v>
      </c>
      <c r="E35" s="1066"/>
      <c r="F35" s="422" t="s">
        <v>133</v>
      </c>
      <c r="G35" s="423">
        <f t="shared" ref="G35:BR35" si="29">$D$35*G16</f>
        <v>57759499.724039502</v>
      </c>
      <c r="H35" s="423">
        <f t="shared" si="29"/>
        <v>57759499.724039502</v>
      </c>
      <c r="I35" s="423">
        <f t="shared" si="29"/>
        <v>57759499.724039502</v>
      </c>
      <c r="J35" s="423">
        <f t="shared" si="29"/>
        <v>57759499.724039502</v>
      </c>
      <c r="K35" s="423">
        <f t="shared" si="29"/>
        <v>57759499.724039502</v>
      </c>
      <c r="L35" s="423">
        <f t="shared" si="29"/>
        <v>57759499.724039502</v>
      </c>
      <c r="M35" s="423">
        <f t="shared" si="29"/>
        <v>57759499.724039502</v>
      </c>
      <c r="N35" s="423">
        <f t="shared" si="29"/>
        <v>57759499.724039502</v>
      </c>
      <c r="O35" s="423">
        <f t="shared" si="29"/>
        <v>57759499.724039502</v>
      </c>
      <c r="P35" s="423">
        <f t="shared" si="29"/>
        <v>57759499.724039502</v>
      </c>
      <c r="Q35" s="423">
        <f t="shared" si="29"/>
        <v>57759499.724039502</v>
      </c>
      <c r="R35" s="423">
        <f t="shared" si="29"/>
        <v>57759499.724039502</v>
      </c>
      <c r="S35" s="423">
        <f t="shared" si="29"/>
        <v>57759499.724039502</v>
      </c>
      <c r="T35" s="423">
        <f t="shared" si="29"/>
        <v>57759499.724039502</v>
      </c>
      <c r="U35" s="423">
        <f t="shared" si="29"/>
        <v>57759499.724039502</v>
      </c>
      <c r="V35" s="423">
        <f t="shared" si="29"/>
        <v>57759499.724039502</v>
      </c>
      <c r="W35" s="423">
        <f t="shared" si="29"/>
        <v>57759499.724039502</v>
      </c>
      <c r="X35" s="423">
        <f t="shared" si="29"/>
        <v>57759499.724039502</v>
      </c>
      <c r="Y35" s="423">
        <f t="shared" si="29"/>
        <v>57759499.724039502</v>
      </c>
      <c r="Z35" s="423">
        <f t="shared" si="29"/>
        <v>57759499.724039502</v>
      </c>
      <c r="AA35" s="423">
        <f t="shared" si="29"/>
        <v>57759499.724039502</v>
      </c>
      <c r="AB35" s="423">
        <f t="shared" si="29"/>
        <v>57759499.724039502</v>
      </c>
      <c r="AC35" s="423">
        <f t="shared" si="29"/>
        <v>57759499.724039502</v>
      </c>
      <c r="AD35" s="423">
        <f t="shared" si="29"/>
        <v>57759499.724039502</v>
      </c>
      <c r="AE35" s="423">
        <f t="shared" si="29"/>
        <v>57759499.724039502</v>
      </c>
      <c r="AF35" s="423">
        <f t="shared" si="29"/>
        <v>57759499.724039502</v>
      </c>
      <c r="AG35" s="423">
        <f t="shared" si="29"/>
        <v>57759499.724039502</v>
      </c>
      <c r="AH35" s="423">
        <f t="shared" si="29"/>
        <v>57759499.724039502</v>
      </c>
      <c r="AI35" s="423">
        <f t="shared" si="29"/>
        <v>57759499.724039502</v>
      </c>
      <c r="AJ35" s="423">
        <f t="shared" si="29"/>
        <v>57759499.724039502</v>
      </c>
      <c r="AK35" s="423">
        <f t="shared" si="29"/>
        <v>57759499.724039502</v>
      </c>
      <c r="AL35" s="423">
        <f t="shared" si="29"/>
        <v>57759499.724039502</v>
      </c>
      <c r="AM35" s="423">
        <f t="shared" si="29"/>
        <v>57759499.724039502</v>
      </c>
      <c r="AN35" s="423">
        <f t="shared" si="29"/>
        <v>57759499.724039502</v>
      </c>
      <c r="AO35" s="423">
        <f t="shared" si="29"/>
        <v>57759499.724039502</v>
      </c>
      <c r="AP35" s="423">
        <f t="shared" si="29"/>
        <v>57759499.724039502</v>
      </c>
      <c r="AQ35" s="423">
        <f t="shared" si="29"/>
        <v>57759499.724039502</v>
      </c>
      <c r="AR35" s="423">
        <f t="shared" si="29"/>
        <v>57759499.724039502</v>
      </c>
      <c r="AS35" s="423">
        <f t="shared" si="29"/>
        <v>57759499.724039502</v>
      </c>
      <c r="AT35" s="423">
        <f t="shared" si="29"/>
        <v>57759499.724039502</v>
      </c>
      <c r="AU35" s="424">
        <f t="shared" si="29"/>
        <v>57759499.724039502</v>
      </c>
      <c r="AV35" s="424">
        <f t="shared" si="29"/>
        <v>57759499.724039502</v>
      </c>
      <c r="AW35" s="424">
        <f t="shared" si="29"/>
        <v>57759499.724039502</v>
      </c>
      <c r="AX35" s="424">
        <f t="shared" si="29"/>
        <v>57759499.724039502</v>
      </c>
      <c r="AY35" s="424">
        <f t="shared" si="29"/>
        <v>57759499.724039502</v>
      </c>
      <c r="AZ35" s="424">
        <f t="shared" si="29"/>
        <v>57759499.724039502</v>
      </c>
      <c r="BA35" s="424">
        <f t="shared" si="29"/>
        <v>57759499.724039502</v>
      </c>
      <c r="BB35" s="424">
        <f t="shared" si="29"/>
        <v>57759499.724039502</v>
      </c>
      <c r="BC35" s="424">
        <f t="shared" si="29"/>
        <v>57759499.724039502</v>
      </c>
      <c r="BD35" s="424">
        <f t="shared" si="29"/>
        <v>57759499.724039502</v>
      </c>
      <c r="BE35" s="424">
        <f t="shared" si="29"/>
        <v>57759499.724039502</v>
      </c>
      <c r="BF35" s="424">
        <f t="shared" si="29"/>
        <v>57759499.724039502</v>
      </c>
      <c r="BG35" s="424">
        <f t="shared" si="29"/>
        <v>57759499.724039502</v>
      </c>
      <c r="BH35" s="424">
        <f t="shared" si="29"/>
        <v>57759499.724039502</v>
      </c>
      <c r="BI35" s="424">
        <f t="shared" si="29"/>
        <v>57759499.724039502</v>
      </c>
      <c r="BJ35" s="424">
        <f t="shared" si="29"/>
        <v>57759499.724039502</v>
      </c>
      <c r="BK35" s="424">
        <f t="shared" si="29"/>
        <v>57759499.724039502</v>
      </c>
      <c r="BL35" s="424">
        <f t="shared" si="29"/>
        <v>57759499.724039502</v>
      </c>
      <c r="BM35" s="424">
        <f t="shared" si="29"/>
        <v>57759499.724039502</v>
      </c>
      <c r="BN35" s="424">
        <f t="shared" si="29"/>
        <v>57759499.724039502</v>
      </c>
      <c r="BO35" s="424">
        <f t="shared" si="29"/>
        <v>57759499.724039502</v>
      </c>
      <c r="BP35" s="424">
        <f t="shared" si="29"/>
        <v>57759499.724039502</v>
      </c>
      <c r="BQ35" s="424">
        <f t="shared" si="29"/>
        <v>57759499.724039502</v>
      </c>
      <c r="BR35" s="424">
        <f t="shared" si="29"/>
        <v>57759499.724039502</v>
      </c>
      <c r="BS35" s="424">
        <f t="shared" ref="BS35:CL35" si="30">$D$35*BS16</f>
        <v>57759499.724039502</v>
      </c>
      <c r="BT35" s="424">
        <f t="shared" si="30"/>
        <v>57759499.724039502</v>
      </c>
      <c r="BU35" s="424">
        <f t="shared" si="30"/>
        <v>57759499.724039502</v>
      </c>
      <c r="BV35" s="424">
        <f t="shared" si="30"/>
        <v>57759499.724039502</v>
      </c>
      <c r="BW35" s="424">
        <f t="shared" si="30"/>
        <v>57759499.724039502</v>
      </c>
      <c r="BX35" s="424">
        <f t="shared" si="30"/>
        <v>57759499.724039502</v>
      </c>
      <c r="BY35" s="424">
        <f t="shared" si="30"/>
        <v>57759499.724039502</v>
      </c>
      <c r="BZ35" s="424">
        <f t="shared" si="30"/>
        <v>57759499.724039502</v>
      </c>
      <c r="CA35" s="424">
        <f t="shared" si="30"/>
        <v>57759499.724039502</v>
      </c>
      <c r="CB35" s="424">
        <f t="shared" si="30"/>
        <v>57759499.724039502</v>
      </c>
      <c r="CC35" s="424">
        <f t="shared" si="30"/>
        <v>57759499.724039502</v>
      </c>
      <c r="CD35" s="424">
        <f t="shared" si="30"/>
        <v>57759499.724039502</v>
      </c>
      <c r="CE35" s="424">
        <f t="shared" si="30"/>
        <v>57759499.724039502</v>
      </c>
      <c r="CF35" s="424">
        <f t="shared" si="30"/>
        <v>57759499.724039502</v>
      </c>
      <c r="CG35" s="424">
        <f t="shared" si="30"/>
        <v>57759499.724039502</v>
      </c>
      <c r="CH35" s="424">
        <f t="shared" si="30"/>
        <v>57759499.724039502</v>
      </c>
      <c r="CI35" s="424">
        <f t="shared" si="30"/>
        <v>57759499.724039502</v>
      </c>
      <c r="CJ35" s="424">
        <f t="shared" si="30"/>
        <v>57759499.724039502</v>
      </c>
      <c r="CK35" s="424">
        <f t="shared" si="30"/>
        <v>57759499.724039502</v>
      </c>
      <c r="CL35" s="422">
        <f t="shared" si="30"/>
        <v>57759499.724039502</v>
      </c>
      <c r="CM35" s="397">
        <f t="shared" si="24"/>
        <v>57759499.724039495</v>
      </c>
      <c r="CN35" s="429" t="s">
        <v>320</v>
      </c>
      <c r="CO35" s="430">
        <v>2198.1265252613698</v>
      </c>
      <c r="CP35" s="430">
        <v>2198.1265252613698</v>
      </c>
      <c r="CQ35" s="430">
        <v>2198.1265252613698</v>
      </c>
      <c r="CR35" s="430">
        <v>2198.1265252613698</v>
      </c>
      <c r="CS35" s="430">
        <v>2198.1265252613698</v>
      </c>
      <c r="CT35" s="430">
        <v>2198.1265252613698</v>
      </c>
      <c r="CU35" s="430">
        <v>2198.1265252613698</v>
      </c>
      <c r="CV35" s="430">
        <v>2198.1265252613698</v>
      </c>
      <c r="CW35" s="430">
        <v>2204.6719970040999</v>
      </c>
      <c r="CX35" s="430">
        <v>2198.1265252613698</v>
      </c>
      <c r="CY35" s="430">
        <v>2204.6719970040999</v>
      </c>
      <c r="CZ35" s="430">
        <v>2211.21746874684</v>
      </c>
      <c r="DA35" s="430">
        <v>2217.7629404895802</v>
      </c>
      <c r="DB35" s="430">
        <v>2224.3084122323098</v>
      </c>
      <c r="DC35" s="430">
        <v>2230.8538839750499</v>
      </c>
      <c r="DD35" s="430">
        <v>2237.3993557177901</v>
      </c>
      <c r="DE35" s="430">
        <v>2243.9448274605202</v>
      </c>
      <c r="DF35" s="430">
        <v>2250.4902992032598</v>
      </c>
      <c r="DG35" s="430">
        <v>2257.03577094599</v>
      </c>
      <c r="DH35" s="430">
        <v>2263.5812426887301</v>
      </c>
      <c r="DI35" s="430">
        <v>2270.1267144314702</v>
      </c>
      <c r="DJ35" s="430">
        <v>2276.6721861741999</v>
      </c>
      <c r="DK35" s="430">
        <v>2283.21765791694</v>
      </c>
      <c r="DL35" s="430">
        <v>2289.7631296596801</v>
      </c>
      <c r="DM35" s="430">
        <v>2296.3086014024102</v>
      </c>
      <c r="DN35" s="430">
        <v>2302.8540731451499</v>
      </c>
      <c r="DO35" s="430">
        <v>2309.39954488788</v>
      </c>
      <c r="DP35" s="430">
        <v>2315.9450166306201</v>
      </c>
      <c r="DQ35" s="430">
        <v>2322.4904883733602</v>
      </c>
      <c r="DR35" s="430">
        <v>2329.0359601160899</v>
      </c>
      <c r="DS35" s="430">
        <v>2335.58143185883</v>
      </c>
      <c r="DT35" s="430">
        <v>2342.1269036015701</v>
      </c>
      <c r="DU35" s="430">
        <v>2348.6723753442998</v>
      </c>
      <c r="DV35" s="430">
        <v>2355.2178470870399</v>
      </c>
      <c r="DW35" s="430">
        <v>2361.76331882977</v>
      </c>
      <c r="DX35" s="430">
        <v>2368.3087905725101</v>
      </c>
      <c r="DY35" s="430">
        <v>2374.8542623152498</v>
      </c>
      <c r="DZ35" s="430">
        <v>2381.3997340579799</v>
      </c>
      <c r="EA35" s="430">
        <v>2387.94520580072</v>
      </c>
      <c r="EB35" s="430">
        <v>2394.4906775434602</v>
      </c>
      <c r="EC35" s="430">
        <v>1659</v>
      </c>
      <c r="ED35" s="430">
        <v>2237</v>
      </c>
      <c r="EE35" s="430">
        <v>2255.1410444563789</v>
      </c>
      <c r="EF35" s="430">
        <v>2146.2487431145209</v>
      </c>
      <c r="EG35" s="430">
        <v>2418.3910474276554</v>
      </c>
      <c r="EH35" s="430">
        <v>2701.6199743644243</v>
      </c>
      <c r="EI35" s="430">
        <v>2777.0407045596344</v>
      </c>
      <c r="EJ35" s="430">
        <v>2836.6205896021006</v>
      </c>
      <c r="EK35" s="430">
        <v>2780.2581602607625</v>
      </c>
      <c r="EL35" s="430">
        <v>3053.926570501239</v>
      </c>
      <c r="EM35" s="430">
        <v>2836.1664048306907</v>
      </c>
      <c r="EN35" s="430">
        <v>2611.932049598453</v>
      </c>
      <c r="EO35" s="430">
        <v>2577.919484614094</v>
      </c>
      <c r="EP35" s="430">
        <v>2856.2006891112787</v>
      </c>
      <c r="EQ35" s="430">
        <v>2469.3423214225581</v>
      </c>
      <c r="ER35" s="430">
        <v>2091.94</v>
      </c>
      <c r="ES35" s="430">
        <v>2025.12</v>
      </c>
      <c r="ET35" s="430">
        <v>2197.69</v>
      </c>
      <c r="EU35" s="430">
        <v>2450.21</v>
      </c>
      <c r="EV35" s="430">
        <v>2188.85</v>
      </c>
      <c r="EW35" s="430">
        <v>2098.58</v>
      </c>
      <c r="EX35" s="430">
        <v>2650.93</v>
      </c>
      <c r="EY35" s="430">
        <v>2588.92</v>
      </c>
      <c r="EZ35" s="430">
        <v>2922.37</v>
      </c>
      <c r="FA35" s="430">
        <v>2398.6999999999998</v>
      </c>
      <c r="FB35" s="430">
        <v>2269.4</v>
      </c>
      <c r="FC35" s="430">
        <v>1425.69</v>
      </c>
      <c r="FD35" s="430">
        <v>1908.42</v>
      </c>
      <c r="FE35" s="430">
        <v>1785.56</v>
      </c>
      <c r="FF35" s="430">
        <v>1111.8399999999999</v>
      </c>
      <c r="FG35" s="430">
        <v>1033.04</v>
      </c>
      <c r="FH35" s="430">
        <v>1321.01</v>
      </c>
      <c r="FI35" s="430">
        <v>1668.98</v>
      </c>
      <c r="FJ35" s="430">
        <v>1783.8</v>
      </c>
      <c r="FK35" s="430">
        <v>2035.2</v>
      </c>
      <c r="FL35" s="430">
        <v>2259.19</v>
      </c>
      <c r="FM35" s="430">
        <v>2699.1</v>
      </c>
      <c r="FN35" s="430">
        <v>3294.54</v>
      </c>
      <c r="FO35" s="430">
        <v>2840.46</v>
      </c>
      <c r="FP35" s="430">
        <v>2266.15</v>
      </c>
      <c r="FQ35" s="430">
        <v>2243.14</v>
      </c>
      <c r="FR35" s="430">
        <v>2506.4699999999998</v>
      </c>
      <c r="FS35" s="430">
        <v>2911.57</v>
      </c>
      <c r="FT35" s="430">
        <v>3467.2</v>
      </c>
      <c r="FU35" s="430">
        <v>3800.16</v>
      </c>
      <c r="FV35" s="271">
        <f t="shared" si="28"/>
        <v>2365.8008396414175</v>
      </c>
      <c r="FW35" s="312"/>
    </row>
    <row r="36" spans="1:179">
      <c r="A36" s="1074"/>
      <c r="B36" s="398" t="s">
        <v>307</v>
      </c>
      <c r="C36" s="399" t="s">
        <v>313</v>
      </c>
      <c r="D36" s="399">
        <v>0.51</v>
      </c>
      <c r="E36" s="1066"/>
      <c r="F36" s="422" t="s">
        <v>132</v>
      </c>
      <c r="G36" s="423">
        <f t="shared" ref="G36:BR36" si="31">$D$36*G16</f>
        <v>57274.352269521201</v>
      </c>
      <c r="H36" s="423">
        <f t="shared" si="31"/>
        <v>57274.352269521201</v>
      </c>
      <c r="I36" s="423">
        <f t="shared" si="31"/>
        <v>57274.352269521201</v>
      </c>
      <c r="J36" s="423">
        <f t="shared" si="31"/>
        <v>57274.352269521201</v>
      </c>
      <c r="K36" s="423">
        <f t="shared" si="31"/>
        <v>57274.352269521201</v>
      </c>
      <c r="L36" s="423">
        <f t="shared" si="31"/>
        <v>57274.352269521201</v>
      </c>
      <c r="M36" s="423">
        <f t="shared" si="31"/>
        <v>57274.352269521201</v>
      </c>
      <c r="N36" s="423">
        <f t="shared" si="31"/>
        <v>57274.352269521201</v>
      </c>
      <c r="O36" s="423">
        <f t="shared" si="31"/>
        <v>57274.352269521201</v>
      </c>
      <c r="P36" s="423">
        <f t="shared" si="31"/>
        <v>57274.352269521201</v>
      </c>
      <c r="Q36" s="423">
        <f t="shared" si="31"/>
        <v>57274.352269521201</v>
      </c>
      <c r="R36" s="423">
        <f t="shared" si="31"/>
        <v>57274.352269521201</v>
      </c>
      <c r="S36" s="423">
        <f t="shared" si="31"/>
        <v>57274.352269521201</v>
      </c>
      <c r="T36" s="423">
        <f t="shared" si="31"/>
        <v>57274.352269521201</v>
      </c>
      <c r="U36" s="423">
        <f t="shared" si="31"/>
        <v>57274.352269521201</v>
      </c>
      <c r="V36" s="423">
        <f t="shared" si="31"/>
        <v>57274.352269521201</v>
      </c>
      <c r="W36" s="423">
        <f t="shared" si="31"/>
        <v>57274.352269521201</v>
      </c>
      <c r="X36" s="423">
        <f t="shared" si="31"/>
        <v>57274.352269521201</v>
      </c>
      <c r="Y36" s="423">
        <f t="shared" si="31"/>
        <v>57274.352269521201</v>
      </c>
      <c r="Z36" s="423">
        <f t="shared" si="31"/>
        <v>57274.352269521201</v>
      </c>
      <c r="AA36" s="423">
        <f t="shared" si="31"/>
        <v>57274.352269521201</v>
      </c>
      <c r="AB36" s="423">
        <f t="shared" si="31"/>
        <v>57274.352269521201</v>
      </c>
      <c r="AC36" s="423">
        <f t="shared" si="31"/>
        <v>57274.352269521201</v>
      </c>
      <c r="AD36" s="423">
        <f t="shared" si="31"/>
        <v>57274.352269521201</v>
      </c>
      <c r="AE36" s="423">
        <f t="shared" si="31"/>
        <v>57274.352269521201</v>
      </c>
      <c r="AF36" s="423">
        <f t="shared" si="31"/>
        <v>57274.352269521201</v>
      </c>
      <c r="AG36" s="423">
        <f t="shared" si="31"/>
        <v>57274.352269521201</v>
      </c>
      <c r="AH36" s="423">
        <f t="shared" si="31"/>
        <v>57274.352269521201</v>
      </c>
      <c r="AI36" s="423">
        <f t="shared" si="31"/>
        <v>57274.352269521201</v>
      </c>
      <c r="AJ36" s="423">
        <f t="shared" si="31"/>
        <v>57274.352269521201</v>
      </c>
      <c r="AK36" s="423">
        <f t="shared" si="31"/>
        <v>57274.352269521201</v>
      </c>
      <c r="AL36" s="423">
        <f t="shared" si="31"/>
        <v>57274.352269521201</v>
      </c>
      <c r="AM36" s="423">
        <f t="shared" si="31"/>
        <v>57274.352269521201</v>
      </c>
      <c r="AN36" s="423">
        <f t="shared" si="31"/>
        <v>57274.352269521201</v>
      </c>
      <c r="AO36" s="423">
        <f t="shared" si="31"/>
        <v>57274.352269521201</v>
      </c>
      <c r="AP36" s="423">
        <f t="shared" si="31"/>
        <v>57274.352269521201</v>
      </c>
      <c r="AQ36" s="423">
        <f t="shared" si="31"/>
        <v>57274.352269521201</v>
      </c>
      <c r="AR36" s="423">
        <f t="shared" si="31"/>
        <v>57274.352269521201</v>
      </c>
      <c r="AS36" s="423">
        <f t="shared" si="31"/>
        <v>57274.352269521201</v>
      </c>
      <c r="AT36" s="423">
        <f t="shared" si="31"/>
        <v>57274.352269521201</v>
      </c>
      <c r="AU36" s="424">
        <f t="shared" si="31"/>
        <v>57274.352269521201</v>
      </c>
      <c r="AV36" s="424">
        <f t="shared" si="31"/>
        <v>57274.352269521201</v>
      </c>
      <c r="AW36" s="424">
        <f t="shared" si="31"/>
        <v>57274.352269521201</v>
      </c>
      <c r="AX36" s="424">
        <f t="shared" si="31"/>
        <v>57274.352269521201</v>
      </c>
      <c r="AY36" s="424">
        <f t="shared" si="31"/>
        <v>57274.352269521201</v>
      </c>
      <c r="AZ36" s="424">
        <f t="shared" si="31"/>
        <v>57274.352269521201</v>
      </c>
      <c r="BA36" s="424">
        <f t="shared" si="31"/>
        <v>57274.352269521201</v>
      </c>
      <c r="BB36" s="424">
        <f t="shared" si="31"/>
        <v>57274.352269521201</v>
      </c>
      <c r="BC36" s="424">
        <f t="shared" si="31"/>
        <v>57274.352269521201</v>
      </c>
      <c r="BD36" s="424">
        <f t="shared" si="31"/>
        <v>57274.352269521201</v>
      </c>
      <c r="BE36" s="424">
        <f t="shared" si="31"/>
        <v>57274.352269521201</v>
      </c>
      <c r="BF36" s="424">
        <f t="shared" si="31"/>
        <v>57274.352269521201</v>
      </c>
      <c r="BG36" s="424">
        <f t="shared" si="31"/>
        <v>57274.352269521201</v>
      </c>
      <c r="BH36" s="424">
        <f t="shared" si="31"/>
        <v>57274.352269521201</v>
      </c>
      <c r="BI36" s="424">
        <f t="shared" si="31"/>
        <v>57274.352269521201</v>
      </c>
      <c r="BJ36" s="424">
        <f t="shared" si="31"/>
        <v>57274.352269521201</v>
      </c>
      <c r="BK36" s="424">
        <f t="shared" si="31"/>
        <v>57274.352269521201</v>
      </c>
      <c r="BL36" s="424">
        <f t="shared" si="31"/>
        <v>57274.352269521201</v>
      </c>
      <c r="BM36" s="424">
        <f t="shared" si="31"/>
        <v>57274.352269521201</v>
      </c>
      <c r="BN36" s="424">
        <f t="shared" si="31"/>
        <v>57274.352269521201</v>
      </c>
      <c r="BO36" s="424">
        <f t="shared" si="31"/>
        <v>57274.352269521201</v>
      </c>
      <c r="BP36" s="424">
        <f t="shared" si="31"/>
        <v>57274.352269521201</v>
      </c>
      <c r="BQ36" s="424">
        <f t="shared" si="31"/>
        <v>57274.352269521201</v>
      </c>
      <c r="BR36" s="424">
        <f t="shared" si="31"/>
        <v>57274.352269521201</v>
      </c>
      <c r="BS36" s="424">
        <f t="shared" ref="BS36:CL36" si="32">$D$36*BS16</f>
        <v>57274.352269521201</v>
      </c>
      <c r="BT36" s="424">
        <f t="shared" si="32"/>
        <v>57274.352269521201</v>
      </c>
      <c r="BU36" s="424">
        <f t="shared" si="32"/>
        <v>57274.352269521201</v>
      </c>
      <c r="BV36" s="424">
        <f t="shared" si="32"/>
        <v>57274.352269521201</v>
      </c>
      <c r="BW36" s="424">
        <f t="shared" si="32"/>
        <v>57274.352269521201</v>
      </c>
      <c r="BX36" s="424">
        <f t="shared" si="32"/>
        <v>57274.352269521201</v>
      </c>
      <c r="BY36" s="424">
        <f t="shared" si="32"/>
        <v>57274.352269521201</v>
      </c>
      <c r="BZ36" s="424">
        <f t="shared" si="32"/>
        <v>57274.352269521201</v>
      </c>
      <c r="CA36" s="424">
        <f t="shared" si="32"/>
        <v>57274.352269521201</v>
      </c>
      <c r="CB36" s="424">
        <f t="shared" si="32"/>
        <v>57274.352269521201</v>
      </c>
      <c r="CC36" s="424">
        <f t="shared" si="32"/>
        <v>57274.352269521201</v>
      </c>
      <c r="CD36" s="424">
        <f t="shared" si="32"/>
        <v>57274.352269521201</v>
      </c>
      <c r="CE36" s="424">
        <f t="shared" si="32"/>
        <v>57274.352269521201</v>
      </c>
      <c r="CF36" s="424">
        <f t="shared" si="32"/>
        <v>57274.352269521201</v>
      </c>
      <c r="CG36" s="424">
        <f t="shared" si="32"/>
        <v>57274.352269521201</v>
      </c>
      <c r="CH36" s="424">
        <f t="shared" si="32"/>
        <v>57274.352269521201</v>
      </c>
      <c r="CI36" s="424">
        <f t="shared" si="32"/>
        <v>57274.352269521201</v>
      </c>
      <c r="CJ36" s="424">
        <f t="shared" si="32"/>
        <v>57274.352269521201</v>
      </c>
      <c r="CK36" s="424">
        <f t="shared" si="32"/>
        <v>57274.352269521201</v>
      </c>
      <c r="CL36" s="422">
        <f t="shared" si="32"/>
        <v>57274.352269521201</v>
      </c>
      <c r="CM36" s="397">
        <f t="shared" si="24"/>
        <v>57274.352269521085</v>
      </c>
      <c r="CN36" s="429" t="s">
        <v>321</v>
      </c>
      <c r="CO36" s="430">
        <v>36.979805128205101</v>
      </c>
      <c r="CP36" s="430">
        <v>36.979805128205101</v>
      </c>
      <c r="CQ36" s="430">
        <v>36.979805128205101</v>
      </c>
      <c r="CR36" s="430">
        <v>36.979805128205101</v>
      </c>
      <c r="CS36" s="430">
        <v>36.979805128205101</v>
      </c>
      <c r="CT36" s="430">
        <v>36.979805128205101</v>
      </c>
      <c r="CU36" s="430">
        <v>36.979805128205101</v>
      </c>
      <c r="CV36" s="430">
        <v>36.979805128205101</v>
      </c>
      <c r="CW36" s="430">
        <v>37.756290598290597</v>
      </c>
      <c r="CX36" s="430">
        <v>36.979805128205101</v>
      </c>
      <c r="CY36" s="430">
        <v>37.756290598290597</v>
      </c>
      <c r="CZ36" s="430">
        <v>38.532776068376101</v>
      </c>
      <c r="DA36" s="430">
        <v>39.309261538461499</v>
      </c>
      <c r="DB36" s="430">
        <v>40.085747008547003</v>
      </c>
      <c r="DC36" s="430">
        <v>40.8622324786325</v>
      </c>
      <c r="DD36" s="430">
        <v>41.638717948718003</v>
      </c>
      <c r="DE36" s="430">
        <v>42.415203418803401</v>
      </c>
      <c r="DF36" s="430">
        <v>43.191688888888898</v>
      </c>
      <c r="DG36" s="430">
        <v>43.968174358974402</v>
      </c>
      <c r="DH36" s="430">
        <v>44.744659829059799</v>
      </c>
      <c r="DI36" s="430">
        <v>45.521145299145303</v>
      </c>
      <c r="DJ36" s="430">
        <v>46.2976307692308</v>
      </c>
      <c r="DK36" s="430">
        <v>47.074116239316197</v>
      </c>
      <c r="DL36" s="430">
        <v>47.850601709401701</v>
      </c>
      <c r="DM36" s="430">
        <v>48.627087179487198</v>
      </c>
      <c r="DN36" s="430">
        <v>49.403572649572702</v>
      </c>
      <c r="DO36" s="430">
        <v>50.180058119658099</v>
      </c>
      <c r="DP36" s="430">
        <v>50.956543589743603</v>
      </c>
      <c r="DQ36" s="430">
        <v>51.7330290598291</v>
      </c>
      <c r="DR36" s="430">
        <v>52.509514529914497</v>
      </c>
      <c r="DS36" s="430">
        <v>53.286000000000001</v>
      </c>
      <c r="DT36" s="430">
        <v>54.062485470085498</v>
      </c>
      <c r="DU36" s="430">
        <v>54.838970940170903</v>
      </c>
      <c r="DV36" s="430">
        <v>55.6154564102564</v>
      </c>
      <c r="DW36" s="430">
        <v>56.391941880341903</v>
      </c>
      <c r="DX36" s="430">
        <v>57.1684273504274</v>
      </c>
      <c r="DY36" s="430">
        <v>57.944912820512798</v>
      </c>
      <c r="DZ36" s="430">
        <v>58.721398290598302</v>
      </c>
      <c r="EA36" s="430">
        <v>59.497883760683798</v>
      </c>
      <c r="EB36" s="430">
        <v>60.274369230769203</v>
      </c>
      <c r="EC36" s="430">
        <v>56.1</v>
      </c>
      <c r="ED36" s="430">
        <v>57.6</v>
      </c>
      <c r="EE36" s="430">
        <v>55.7</v>
      </c>
      <c r="EF36" s="430">
        <v>59.95</v>
      </c>
      <c r="EG36" s="430">
        <v>68.569999999999993</v>
      </c>
      <c r="EH36" s="430">
        <v>79.7</v>
      </c>
      <c r="EI36" s="430">
        <v>85.01</v>
      </c>
      <c r="EJ36" s="430">
        <v>73.42</v>
      </c>
      <c r="EK36" s="430">
        <v>68.25</v>
      </c>
      <c r="EL36" s="430">
        <v>53.25</v>
      </c>
      <c r="EM36" s="430">
        <v>65.459999999999994</v>
      </c>
      <c r="EN36" s="430">
        <v>60.93</v>
      </c>
      <c r="EO36" s="430">
        <v>59.7</v>
      </c>
      <c r="EP36" s="430">
        <v>58.94</v>
      </c>
      <c r="EQ36" s="430">
        <v>57.95</v>
      </c>
      <c r="ER36" s="430">
        <v>78.48</v>
      </c>
      <c r="ES36" s="430">
        <v>82.51</v>
      </c>
      <c r="ET36" s="430">
        <v>83.6</v>
      </c>
      <c r="EU36" s="430">
        <v>102.15</v>
      </c>
      <c r="EV36" s="430">
        <v>74.58</v>
      </c>
      <c r="EW36" s="430">
        <v>78.45</v>
      </c>
      <c r="EX36" s="430">
        <v>76.87</v>
      </c>
      <c r="EY36" s="430">
        <v>82.39</v>
      </c>
      <c r="EZ36" s="430">
        <v>77.88</v>
      </c>
      <c r="FA36" s="430">
        <v>75.39</v>
      </c>
      <c r="FB36" s="430">
        <v>66.849999999999994</v>
      </c>
      <c r="FC36" s="430">
        <v>64.58</v>
      </c>
      <c r="FD36" s="430">
        <v>84.97</v>
      </c>
      <c r="FE36" s="430">
        <v>78.069999999999993</v>
      </c>
      <c r="FF36" s="430">
        <v>71.17</v>
      </c>
      <c r="FG36" s="430">
        <v>68.23</v>
      </c>
      <c r="FH36" s="430">
        <v>69.2</v>
      </c>
      <c r="FI36" s="430">
        <v>71.16</v>
      </c>
      <c r="FJ36" s="430">
        <v>82.9</v>
      </c>
      <c r="FK36" s="430">
        <v>88.88</v>
      </c>
      <c r="FL36" s="430">
        <v>80.14</v>
      </c>
      <c r="FM36" s="430">
        <v>89.43</v>
      </c>
      <c r="FN36" s="430">
        <v>102.78</v>
      </c>
      <c r="FO36" s="430">
        <v>102.25</v>
      </c>
      <c r="FP36" s="430">
        <v>100.32</v>
      </c>
      <c r="FQ36" s="430">
        <v>81.34</v>
      </c>
      <c r="FR36" s="430">
        <v>90.67</v>
      </c>
      <c r="FS36" s="430">
        <v>91.86</v>
      </c>
      <c r="FT36" s="430">
        <v>95.99</v>
      </c>
      <c r="FU36" s="430">
        <v>94.95</v>
      </c>
      <c r="FV36" s="271">
        <f t="shared" si="28"/>
        <v>76.634888888888895</v>
      </c>
      <c r="FW36" s="312"/>
    </row>
    <row r="37" spans="1:179" ht="26.25" customHeight="1">
      <c r="A37" s="1074"/>
      <c r="B37" s="398" t="s">
        <v>307</v>
      </c>
      <c r="C37" s="399" t="s">
        <v>322</v>
      </c>
      <c r="D37" s="399">
        <v>0.14000000000000001</v>
      </c>
      <c r="E37" s="1066"/>
      <c r="F37" s="422" t="s">
        <v>131</v>
      </c>
      <c r="G37" s="423">
        <f t="shared" ref="G37:BR37" si="33">$D$37*G16</f>
        <v>15722.371211241114</v>
      </c>
      <c r="H37" s="423">
        <f t="shared" si="33"/>
        <v>15722.371211241114</v>
      </c>
      <c r="I37" s="423">
        <f t="shared" si="33"/>
        <v>15722.371211241114</v>
      </c>
      <c r="J37" s="423">
        <f t="shared" si="33"/>
        <v>15722.371211241114</v>
      </c>
      <c r="K37" s="423">
        <f t="shared" si="33"/>
        <v>15722.371211241114</v>
      </c>
      <c r="L37" s="423">
        <f t="shared" si="33"/>
        <v>15722.371211241114</v>
      </c>
      <c r="M37" s="423">
        <f t="shared" si="33"/>
        <v>15722.371211241114</v>
      </c>
      <c r="N37" s="423">
        <f t="shared" si="33"/>
        <v>15722.371211241114</v>
      </c>
      <c r="O37" s="423">
        <f t="shared" si="33"/>
        <v>15722.371211241114</v>
      </c>
      <c r="P37" s="423">
        <f t="shared" si="33"/>
        <v>15722.371211241114</v>
      </c>
      <c r="Q37" s="423">
        <f t="shared" si="33"/>
        <v>15722.371211241114</v>
      </c>
      <c r="R37" s="423">
        <f t="shared" si="33"/>
        <v>15722.371211241114</v>
      </c>
      <c r="S37" s="423">
        <f t="shared" si="33"/>
        <v>15722.371211241114</v>
      </c>
      <c r="T37" s="423">
        <f t="shared" si="33"/>
        <v>15722.371211241114</v>
      </c>
      <c r="U37" s="423">
        <f t="shared" si="33"/>
        <v>15722.371211241114</v>
      </c>
      <c r="V37" s="423">
        <f t="shared" si="33"/>
        <v>15722.371211241114</v>
      </c>
      <c r="W37" s="423">
        <f t="shared" si="33"/>
        <v>15722.371211241114</v>
      </c>
      <c r="X37" s="423">
        <f t="shared" si="33"/>
        <v>15722.371211241114</v>
      </c>
      <c r="Y37" s="423">
        <f t="shared" si="33"/>
        <v>15722.371211241114</v>
      </c>
      <c r="Z37" s="423">
        <f t="shared" si="33"/>
        <v>15722.371211241114</v>
      </c>
      <c r="AA37" s="423">
        <f t="shared" si="33"/>
        <v>15722.371211241114</v>
      </c>
      <c r="AB37" s="423">
        <f t="shared" si="33"/>
        <v>15722.371211241114</v>
      </c>
      <c r="AC37" s="423">
        <f t="shared" si="33"/>
        <v>15722.371211241114</v>
      </c>
      <c r="AD37" s="423">
        <f t="shared" si="33"/>
        <v>15722.371211241114</v>
      </c>
      <c r="AE37" s="423">
        <f t="shared" si="33"/>
        <v>15722.371211241114</v>
      </c>
      <c r="AF37" s="423">
        <f t="shared" si="33"/>
        <v>15722.371211241114</v>
      </c>
      <c r="AG37" s="423">
        <f t="shared" si="33"/>
        <v>15722.371211241114</v>
      </c>
      <c r="AH37" s="423">
        <f t="shared" si="33"/>
        <v>15722.371211241114</v>
      </c>
      <c r="AI37" s="423">
        <f t="shared" si="33"/>
        <v>15722.371211241114</v>
      </c>
      <c r="AJ37" s="423">
        <f t="shared" si="33"/>
        <v>15722.371211241114</v>
      </c>
      <c r="AK37" s="423">
        <f t="shared" si="33"/>
        <v>15722.371211241114</v>
      </c>
      <c r="AL37" s="423">
        <f t="shared" si="33"/>
        <v>15722.371211241114</v>
      </c>
      <c r="AM37" s="423">
        <f t="shared" si="33"/>
        <v>15722.371211241114</v>
      </c>
      <c r="AN37" s="423">
        <f t="shared" si="33"/>
        <v>15722.371211241114</v>
      </c>
      <c r="AO37" s="423">
        <f t="shared" si="33"/>
        <v>15722.371211241114</v>
      </c>
      <c r="AP37" s="423">
        <f t="shared" si="33"/>
        <v>15722.371211241114</v>
      </c>
      <c r="AQ37" s="423">
        <f t="shared" si="33"/>
        <v>15722.371211241114</v>
      </c>
      <c r="AR37" s="423">
        <f t="shared" si="33"/>
        <v>15722.371211241114</v>
      </c>
      <c r="AS37" s="423">
        <f t="shared" si="33"/>
        <v>15722.371211241114</v>
      </c>
      <c r="AT37" s="423">
        <f t="shared" si="33"/>
        <v>15722.371211241114</v>
      </c>
      <c r="AU37" s="424">
        <f t="shared" si="33"/>
        <v>15722.371211241114</v>
      </c>
      <c r="AV37" s="424">
        <f t="shared" si="33"/>
        <v>15722.371211241114</v>
      </c>
      <c r="AW37" s="424">
        <f t="shared" si="33"/>
        <v>15722.371211241114</v>
      </c>
      <c r="AX37" s="424">
        <f t="shared" si="33"/>
        <v>15722.371211241114</v>
      </c>
      <c r="AY37" s="424">
        <f t="shared" si="33"/>
        <v>15722.371211241114</v>
      </c>
      <c r="AZ37" s="424">
        <f t="shared" si="33"/>
        <v>15722.371211241114</v>
      </c>
      <c r="BA37" s="424">
        <f t="shared" si="33"/>
        <v>15722.371211241114</v>
      </c>
      <c r="BB37" s="424">
        <f t="shared" si="33"/>
        <v>15722.371211241114</v>
      </c>
      <c r="BC37" s="424">
        <f t="shared" si="33"/>
        <v>15722.371211241114</v>
      </c>
      <c r="BD37" s="424">
        <f t="shared" si="33"/>
        <v>15722.371211241114</v>
      </c>
      <c r="BE37" s="424">
        <f t="shared" si="33"/>
        <v>15722.371211241114</v>
      </c>
      <c r="BF37" s="424">
        <f t="shared" si="33"/>
        <v>15722.371211241114</v>
      </c>
      <c r="BG37" s="424">
        <f t="shared" si="33"/>
        <v>15722.371211241114</v>
      </c>
      <c r="BH37" s="424">
        <f t="shared" si="33"/>
        <v>15722.371211241114</v>
      </c>
      <c r="BI37" s="424">
        <f t="shared" si="33"/>
        <v>15722.371211241114</v>
      </c>
      <c r="BJ37" s="424">
        <f t="shared" si="33"/>
        <v>15722.371211241114</v>
      </c>
      <c r="BK37" s="424">
        <f t="shared" si="33"/>
        <v>15722.371211241114</v>
      </c>
      <c r="BL37" s="424">
        <f t="shared" si="33"/>
        <v>15722.371211241114</v>
      </c>
      <c r="BM37" s="424">
        <f t="shared" si="33"/>
        <v>15722.371211241114</v>
      </c>
      <c r="BN37" s="424">
        <f t="shared" si="33"/>
        <v>15722.371211241114</v>
      </c>
      <c r="BO37" s="424">
        <f t="shared" si="33"/>
        <v>15722.371211241114</v>
      </c>
      <c r="BP37" s="424">
        <f t="shared" si="33"/>
        <v>15722.371211241114</v>
      </c>
      <c r="BQ37" s="424">
        <f t="shared" si="33"/>
        <v>15722.371211241114</v>
      </c>
      <c r="BR37" s="424">
        <f t="shared" si="33"/>
        <v>15722.371211241114</v>
      </c>
      <c r="BS37" s="424">
        <f t="shared" ref="BS37:CL37" si="34">$D$37*BS16</f>
        <v>15722.371211241114</v>
      </c>
      <c r="BT37" s="424">
        <f t="shared" si="34"/>
        <v>15722.371211241114</v>
      </c>
      <c r="BU37" s="424">
        <f t="shared" si="34"/>
        <v>15722.371211241114</v>
      </c>
      <c r="BV37" s="424">
        <f t="shared" si="34"/>
        <v>15722.371211241114</v>
      </c>
      <c r="BW37" s="424">
        <f t="shared" si="34"/>
        <v>15722.371211241114</v>
      </c>
      <c r="BX37" s="424">
        <f t="shared" si="34"/>
        <v>15722.371211241114</v>
      </c>
      <c r="BY37" s="424">
        <f t="shared" si="34"/>
        <v>15722.371211241114</v>
      </c>
      <c r="BZ37" s="424">
        <f t="shared" si="34"/>
        <v>15722.371211241114</v>
      </c>
      <c r="CA37" s="424">
        <f t="shared" si="34"/>
        <v>15722.371211241114</v>
      </c>
      <c r="CB37" s="424">
        <f t="shared" si="34"/>
        <v>15722.371211241114</v>
      </c>
      <c r="CC37" s="424">
        <f t="shared" si="34"/>
        <v>15722.371211241114</v>
      </c>
      <c r="CD37" s="424">
        <f t="shared" si="34"/>
        <v>15722.371211241114</v>
      </c>
      <c r="CE37" s="424">
        <f t="shared" si="34"/>
        <v>15722.371211241114</v>
      </c>
      <c r="CF37" s="424">
        <f t="shared" si="34"/>
        <v>15722.371211241114</v>
      </c>
      <c r="CG37" s="424">
        <f t="shared" si="34"/>
        <v>15722.371211241114</v>
      </c>
      <c r="CH37" s="424">
        <f t="shared" si="34"/>
        <v>15722.371211241114</v>
      </c>
      <c r="CI37" s="424">
        <f t="shared" si="34"/>
        <v>15722.371211241114</v>
      </c>
      <c r="CJ37" s="424">
        <f t="shared" si="34"/>
        <v>15722.371211241114</v>
      </c>
      <c r="CK37" s="424">
        <f t="shared" si="34"/>
        <v>15722.371211241114</v>
      </c>
      <c r="CL37" s="422">
        <f t="shared" si="34"/>
        <v>15722.371211241114</v>
      </c>
      <c r="CM37" s="397">
        <f t="shared" si="24"/>
        <v>15722.37121124109</v>
      </c>
      <c r="CN37" s="429" t="s">
        <v>180</v>
      </c>
      <c r="CO37" s="430">
        <v>3.25</v>
      </c>
      <c r="CP37" s="430">
        <v>3.25</v>
      </c>
      <c r="CQ37" s="430">
        <v>3.25</v>
      </c>
      <c r="CR37" s="430">
        <v>3.25</v>
      </c>
      <c r="CS37" s="430">
        <v>3.25</v>
      </c>
      <c r="CT37" s="430">
        <v>3.5</v>
      </c>
      <c r="CU37" s="430">
        <v>3.5</v>
      </c>
      <c r="CV37" s="430">
        <v>3.5</v>
      </c>
      <c r="CW37" s="430">
        <v>3.5</v>
      </c>
      <c r="CX37" s="430">
        <v>3.5</v>
      </c>
      <c r="CY37" s="430">
        <v>3.5</v>
      </c>
      <c r="CZ37" s="430">
        <v>3.5</v>
      </c>
      <c r="DA37" s="430">
        <v>3.5</v>
      </c>
      <c r="DB37" s="430">
        <v>3.5</v>
      </c>
      <c r="DC37" s="430">
        <v>3.5</v>
      </c>
      <c r="DD37" s="430">
        <v>3.5</v>
      </c>
      <c r="DE37" s="430">
        <v>3.5574974358974401</v>
      </c>
      <c r="DF37" s="430">
        <v>3.5365333333333302</v>
      </c>
      <c r="DG37" s="430">
        <v>3.5155692307692301</v>
      </c>
      <c r="DH37" s="430">
        <v>3.49460512820513</v>
      </c>
      <c r="DI37" s="430">
        <v>3.4736410256410299</v>
      </c>
      <c r="DJ37" s="430">
        <v>3.4526769230769201</v>
      </c>
      <c r="DK37" s="430">
        <v>3.43171282051282</v>
      </c>
      <c r="DL37" s="430">
        <v>3.4107487179487199</v>
      </c>
      <c r="DM37" s="430">
        <v>3.3897846153846101</v>
      </c>
      <c r="DN37" s="430">
        <v>3.36882051282051</v>
      </c>
      <c r="DO37" s="430">
        <v>3.3478564102564099</v>
      </c>
      <c r="DP37" s="430">
        <v>3.3268923076923098</v>
      </c>
      <c r="DQ37" s="430">
        <v>3.3059282051282</v>
      </c>
      <c r="DR37" s="430">
        <v>3.2849641025640999</v>
      </c>
      <c r="DS37" s="430">
        <v>3.2639999999999998</v>
      </c>
      <c r="DT37" s="430">
        <v>3.2430358974359002</v>
      </c>
      <c r="DU37" s="430">
        <v>3.2220717948717899</v>
      </c>
      <c r="DV37" s="430">
        <v>3.2011076923076902</v>
      </c>
      <c r="DW37" s="430">
        <v>3.1801435897435901</v>
      </c>
      <c r="DX37" s="430">
        <v>3.15917948717949</v>
      </c>
      <c r="DY37" s="430">
        <v>3.1382153846153802</v>
      </c>
      <c r="DZ37" s="430">
        <v>3.1172512820512801</v>
      </c>
      <c r="EA37" s="430">
        <v>3.09628717948718</v>
      </c>
      <c r="EB37" s="430">
        <v>3.0753230769230799</v>
      </c>
      <c r="EC37" s="430">
        <v>2.19</v>
      </c>
      <c r="ED37" s="430">
        <v>3.16</v>
      </c>
      <c r="EE37" s="430">
        <v>3.15</v>
      </c>
      <c r="EF37" s="430">
        <v>2.71</v>
      </c>
      <c r="EG37" s="430">
        <v>2.67</v>
      </c>
      <c r="EH37" s="430">
        <v>2.98</v>
      </c>
      <c r="EI37" s="430">
        <v>3.6</v>
      </c>
      <c r="EJ37" s="430">
        <v>3.3</v>
      </c>
      <c r="EK37" s="430">
        <v>3.19</v>
      </c>
      <c r="EL37" s="430">
        <v>3.54</v>
      </c>
      <c r="EM37" s="430">
        <v>3.04</v>
      </c>
      <c r="EN37" s="430">
        <v>2.95</v>
      </c>
      <c r="EO37" s="430">
        <v>2.5499999999999998</v>
      </c>
      <c r="EP37" s="430">
        <v>3.17</v>
      </c>
      <c r="EQ37" s="430">
        <v>2.7</v>
      </c>
      <c r="ER37" s="430">
        <v>2.14</v>
      </c>
      <c r="ES37" s="430">
        <v>2.11</v>
      </c>
      <c r="ET37" s="430">
        <v>2.31</v>
      </c>
      <c r="EU37" s="430">
        <v>2.5499999999999998</v>
      </c>
      <c r="EV37" s="430">
        <v>2.8</v>
      </c>
      <c r="EW37" s="430">
        <v>2.42</v>
      </c>
      <c r="EX37" s="430">
        <v>2.8</v>
      </c>
      <c r="EY37" s="430">
        <v>2.73</v>
      </c>
      <c r="EZ37" s="430">
        <v>2.99</v>
      </c>
      <c r="FA37" s="430">
        <v>2.38</v>
      </c>
      <c r="FB37" s="430">
        <v>2.4700000000000002</v>
      </c>
      <c r="FC37" s="430">
        <v>1.66</v>
      </c>
      <c r="FD37" s="430">
        <v>2.34</v>
      </c>
      <c r="FE37" s="430">
        <v>2.73</v>
      </c>
      <c r="FF37" s="430">
        <v>1.44</v>
      </c>
      <c r="FG37" s="430">
        <v>1.22</v>
      </c>
      <c r="FH37" s="430">
        <v>1.58</v>
      </c>
      <c r="FI37" s="430">
        <v>2.04</v>
      </c>
      <c r="FJ37" s="430">
        <v>2.15</v>
      </c>
      <c r="FK37" s="430">
        <v>2.37</v>
      </c>
      <c r="FL37" s="430">
        <v>2.61</v>
      </c>
      <c r="FM37" s="430">
        <v>2.96</v>
      </c>
      <c r="FN37" s="430">
        <v>3.52</v>
      </c>
      <c r="FO37" s="430">
        <v>3.35</v>
      </c>
      <c r="FP37" s="430">
        <v>2.69</v>
      </c>
      <c r="FQ37" s="430">
        <v>2.57</v>
      </c>
      <c r="FR37" s="430">
        <v>2.83</v>
      </c>
      <c r="FS37" s="430">
        <v>3.48</v>
      </c>
      <c r="FT37" s="430">
        <v>3.56</v>
      </c>
      <c r="FU37" s="430">
        <v>3.74</v>
      </c>
      <c r="FV37" s="271">
        <f t="shared" si="28"/>
        <v>2.6986666666666661</v>
      </c>
      <c r="FW37" s="312"/>
    </row>
    <row r="38" spans="1:179">
      <c r="A38" s="1074"/>
      <c r="B38" s="398" t="s">
        <v>307</v>
      </c>
      <c r="C38" s="399" t="s">
        <v>323</v>
      </c>
      <c r="D38" s="399">
        <v>15.58</v>
      </c>
      <c r="E38" s="1066"/>
      <c r="F38" s="422" t="s">
        <v>130</v>
      </c>
      <c r="G38" s="423">
        <f t="shared" ref="G38:BR38" si="35">$D$38*G16</f>
        <v>1749675.3105081182</v>
      </c>
      <c r="H38" s="423">
        <f t="shared" si="35"/>
        <v>1749675.3105081182</v>
      </c>
      <c r="I38" s="423">
        <f t="shared" si="35"/>
        <v>1749675.3105081182</v>
      </c>
      <c r="J38" s="423">
        <f t="shared" si="35"/>
        <v>1749675.3105081182</v>
      </c>
      <c r="K38" s="423">
        <f t="shared" si="35"/>
        <v>1749675.3105081182</v>
      </c>
      <c r="L38" s="423">
        <f t="shared" si="35"/>
        <v>1749675.3105081182</v>
      </c>
      <c r="M38" s="423">
        <f t="shared" si="35"/>
        <v>1749675.3105081182</v>
      </c>
      <c r="N38" s="423">
        <f t="shared" si="35"/>
        <v>1749675.3105081182</v>
      </c>
      <c r="O38" s="423">
        <f t="shared" si="35"/>
        <v>1749675.3105081182</v>
      </c>
      <c r="P38" s="423">
        <f t="shared" si="35"/>
        <v>1749675.3105081182</v>
      </c>
      <c r="Q38" s="423">
        <f t="shared" si="35"/>
        <v>1749675.3105081182</v>
      </c>
      <c r="R38" s="423">
        <f t="shared" si="35"/>
        <v>1749675.3105081182</v>
      </c>
      <c r="S38" s="423">
        <f t="shared" si="35"/>
        <v>1749675.3105081182</v>
      </c>
      <c r="T38" s="423">
        <f t="shared" si="35"/>
        <v>1749675.3105081182</v>
      </c>
      <c r="U38" s="423">
        <f t="shared" si="35"/>
        <v>1749675.3105081182</v>
      </c>
      <c r="V38" s="423">
        <f t="shared" si="35"/>
        <v>1749675.3105081182</v>
      </c>
      <c r="W38" s="423">
        <f t="shared" si="35"/>
        <v>1749675.3105081182</v>
      </c>
      <c r="X38" s="423">
        <f t="shared" si="35"/>
        <v>1749675.3105081182</v>
      </c>
      <c r="Y38" s="423">
        <f t="shared" si="35"/>
        <v>1749675.3105081182</v>
      </c>
      <c r="Z38" s="423">
        <f t="shared" si="35"/>
        <v>1749675.3105081182</v>
      </c>
      <c r="AA38" s="423">
        <f t="shared" si="35"/>
        <v>1749675.3105081182</v>
      </c>
      <c r="AB38" s="423">
        <f t="shared" si="35"/>
        <v>1749675.3105081182</v>
      </c>
      <c r="AC38" s="423">
        <f t="shared" si="35"/>
        <v>1749675.3105081182</v>
      </c>
      <c r="AD38" s="423">
        <f t="shared" si="35"/>
        <v>1749675.3105081182</v>
      </c>
      <c r="AE38" s="423">
        <f t="shared" si="35"/>
        <v>1749675.3105081182</v>
      </c>
      <c r="AF38" s="423">
        <f t="shared" si="35"/>
        <v>1749675.3105081182</v>
      </c>
      <c r="AG38" s="423">
        <f t="shared" si="35"/>
        <v>1749675.3105081182</v>
      </c>
      <c r="AH38" s="423">
        <f t="shared" si="35"/>
        <v>1749675.3105081182</v>
      </c>
      <c r="AI38" s="423">
        <f t="shared" si="35"/>
        <v>1749675.3105081182</v>
      </c>
      <c r="AJ38" s="423">
        <f t="shared" si="35"/>
        <v>1749675.3105081182</v>
      </c>
      <c r="AK38" s="423">
        <f t="shared" si="35"/>
        <v>1749675.3105081182</v>
      </c>
      <c r="AL38" s="423">
        <f t="shared" si="35"/>
        <v>1749675.3105081182</v>
      </c>
      <c r="AM38" s="423">
        <f t="shared" si="35"/>
        <v>1749675.3105081182</v>
      </c>
      <c r="AN38" s="423">
        <f t="shared" si="35"/>
        <v>1749675.3105081182</v>
      </c>
      <c r="AO38" s="423">
        <f t="shared" si="35"/>
        <v>1749675.3105081182</v>
      </c>
      <c r="AP38" s="423">
        <f t="shared" si="35"/>
        <v>1749675.3105081182</v>
      </c>
      <c r="AQ38" s="423">
        <f t="shared" si="35"/>
        <v>1749675.3105081182</v>
      </c>
      <c r="AR38" s="423">
        <f t="shared" si="35"/>
        <v>1749675.3105081182</v>
      </c>
      <c r="AS38" s="423">
        <f t="shared" si="35"/>
        <v>1749675.3105081182</v>
      </c>
      <c r="AT38" s="423">
        <f t="shared" si="35"/>
        <v>1749675.3105081182</v>
      </c>
      <c r="AU38" s="424">
        <f t="shared" si="35"/>
        <v>1749675.3105081182</v>
      </c>
      <c r="AV38" s="424">
        <f t="shared" si="35"/>
        <v>1749675.3105081182</v>
      </c>
      <c r="AW38" s="424">
        <f t="shared" si="35"/>
        <v>1749675.3105081182</v>
      </c>
      <c r="AX38" s="424">
        <f t="shared" si="35"/>
        <v>1749675.3105081182</v>
      </c>
      <c r="AY38" s="424">
        <f t="shared" si="35"/>
        <v>1749675.3105081182</v>
      </c>
      <c r="AZ38" s="424">
        <f t="shared" si="35"/>
        <v>1749675.3105081182</v>
      </c>
      <c r="BA38" s="424">
        <f t="shared" si="35"/>
        <v>1749675.3105081182</v>
      </c>
      <c r="BB38" s="424">
        <f t="shared" si="35"/>
        <v>1749675.3105081182</v>
      </c>
      <c r="BC38" s="424">
        <f t="shared" si="35"/>
        <v>1749675.3105081182</v>
      </c>
      <c r="BD38" s="424">
        <f t="shared" si="35"/>
        <v>1749675.3105081182</v>
      </c>
      <c r="BE38" s="424">
        <f t="shared" si="35"/>
        <v>1749675.3105081182</v>
      </c>
      <c r="BF38" s="424">
        <f t="shared" si="35"/>
        <v>1749675.3105081182</v>
      </c>
      <c r="BG38" s="424">
        <f t="shared" si="35"/>
        <v>1749675.3105081182</v>
      </c>
      <c r="BH38" s="424">
        <f t="shared" si="35"/>
        <v>1749675.3105081182</v>
      </c>
      <c r="BI38" s="424">
        <f t="shared" si="35"/>
        <v>1749675.3105081182</v>
      </c>
      <c r="BJ38" s="424">
        <f t="shared" si="35"/>
        <v>1749675.3105081182</v>
      </c>
      <c r="BK38" s="424">
        <f t="shared" si="35"/>
        <v>1749675.3105081182</v>
      </c>
      <c r="BL38" s="424">
        <f t="shared" si="35"/>
        <v>1749675.3105081182</v>
      </c>
      <c r="BM38" s="424">
        <f t="shared" si="35"/>
        <v>1749675.3105081182</v>
      </c>
      <c r="BN38" s="424">
        <f t="shared" si="35"/>
        <v>1749675.3105081182</v>
      </c>
      <c r="BO38" s="424">
        <f t="shared" si="35"/>
        <v>1749675.3105081182</v>
      </c>
      <c r="BP38" s="424">
        <f t="shared" si="35"/>
        <v>1749675.3105081182</v>
      </c>
      <c r="BQ38" s="424">
        <f t="shared" si="35"/>
        <v>1749675.3105081182</v>
      </c>
      <c r="BR38" s="424">
        <f t="shared" si="35"/>
        <v>1749675.3105081182</v>
      </c>
      <c r="BS38" s="424">
        <f t="shared" ref="BS38:CL38" si="36">$D$38*BS16</f>
        <v>1749675.3105081182</v>
      </c>
      <c r="BT38" s="424">
        <f t="shared" si="36"/>
        <v>1749675.3105081182</v>
      </c>
      <c r="BU38" s="424">
        <f t="shared" si="36"/>
        <v>1749675.3105081182</v>
      </c>
      <c r="BV38" s="424">
        <f t="shared" si="36"/>
        <v>1749675.3105081182</v>
      </c>
      <c r="BW38" s="424">
        <f t="shared" si="36"/>
        <v>1749675.3105081182</v>
      </c>
      <c r="BX38" s="424">
        <f t="shared" si="36"/>
        <v>1749675.3105081182</v>
      </c>
      <c r="BY38" s="424">
        <f t="shared" si="36"/>
        <v>1749675.3105081182</v>
      </c>
      <c r="BZ38" s="424">
        <f t="shared" si="36"/>
        <v>1749675.3105081182</v>
      </c>
      <c r="CA38" s="424">
        <f t="shared" si="36"/>
        <v>1749675.3105081182</v>
      </c>
      <c r="CB38" s="424">
        <f t="shared" si="36"/>
        <v>1749675.3105081182</v>
      </c>
      <c r="CC38" s="424">
        <f t="shared" si="36"/>
        <v>1749675.3105081182</v>
      </c>
      <c r="CD38" s="424">
        <f t="shared" si="36"/>
        <v>1749675.3105081182</v>
      </c>
      <c r="CE38" s="424">
        <f t="shared" si="36"/>
        <v>1749675.3105081182</v>
      </c>
      <c r="CF38" s="424">
        <f t="shared" si="36"/>
        <v>1749675.3105081182</v>
      </c>
      <c r="CG38" s="424">
        <f t="shared" si="36"/>
        <v>1749675.3105081182</v>
      </c>
      <c r="CH38" s="424">
        <f t="shared" si="36"/>
        <v>1749675.3105081182</v>
      </c>
      <c r="CI38" s="424">
        <f t="shared" si="36"/>
        <v>1749675.3105081182</v>
      </c>
      <c r="CJ38" s="424">
        <f t="shared" si="36"/>
        <v>1749675.3105081182</v>
      </c>
      <c r="CK38" s="424">
        <f t="shared" si="36"/>
        <v>1749675.3105081182</v>
      </c>
      <c r="CL38" s="422">
        <f t="shared" si="36"/>
        <v>1749675.3105081182</v>
      </c>
      <c r="CM38" s="397">
        <f t="shared" si="24"/>
        <v>1749675.3105081185</v>
      </c>
      <c r="CN38" s="431" t="s">
        <v>219</v>
      </c>
      <c r="CO38" s="432">
        <v>3</v>
      </c>
      <c r="CP38" s="432">
        <v>3</v>
      </c>
      <c r="CQ38" s="432">
        <v>3</v>
      </c>
      <c r="CR38" s="432">
        <v>3</v>
      </c>
      <c r="CS38" s="432">
        <v>3</v>
      </c>
      <c r="CT38" s="432">
        <v>3</v>
      </c>
      <c r="CU38" s="432">
        <v>3</v>
      </c>
      <c r="CV38" s="432">
        <v>3</v>
      </c>
      <c r="CW38" s="432">
        <v>3</v>
      </c>
      <c r="CX38" s="432">
        <v>3</v>
      </c>
      <c r="CY38" s="432">
        <v>3</v>
      </c>
      <c r="CZ38" s="432">
        <v>3</v>
      </c>
      <c r="DA38" s="432">
        <v>3</v>
      </c>
      <c r="DB38" s="432">
        <v>3</v>
      </c>
      <c r="DC38" s="432">
        <v>3</v>
      </c>
      <c r="DD38" s="432">
        <v>3</v>
      </c>
      <c r="DE38" s="432">
        <v>3</v>
      </c>
      <c r="DF38" s="432">
        <v>3</v>
      </c>
      <c r="DG38" s="432">
        <v>3</v>
      </c>
      <c r="DH38" s="432">
        <v>3</v>
      </c>
      <c r="DI38" s="432">
        <v>3</v>
      </c>
      <c r="DJ38" s="432">
        <v>3</v>
      </c>
      <c r="DK38" s="432">
        <v>3</v>
      </c>
      <c r="DL38" s="432">
        <v>3</v>
      </c>
      <c r="DM38" s="432">
        <v>3</v>
      </c>
      <c r="DN38" s="432">
        <v>3</v>
      </c>
      <c r="DO38" s="432">
        <v>3</v>
      </c>
      <c r="DP38" s="432">
        <v>3</v>
      </c>
      <c r="DQ38" s="432">
        <v>3</v>
      </c>
      <c r="DR38" s="432">
        <v>3</v>
      </c>
      <c r="DS38" s="432">
        <v>3</v>
      </c>
      <c r="DT38" s="432">
        <v>3</v>
      </c>
      <c r="DU38" s="432">
        <v>3</v>
      </c>
      <c r="DV38" s="432">
        <v>3</v>
      </c>
      <c r="DW38" s="432">
        <v>3</v>
      </c>
      <c r="DX38" s="432">
        <v>3</v>
      </c>
      <c r="DY38" s="432">
        <v>3</v>
      </c>
      <c r="DZ38" s="432">
        <v>3</v>
      </c>
      <c r="EA38" s="432">
        <v>3</v>
      </c>
      <c r="EB38" s="432">
        <v>3</v>
      </c>
      <c r="EC38" s="432">
        <v>3</v>
      </c>
      <c r="ED38" s="432">
        <v>3</v>
      </c>
      <c r="EE38" s="432">
        <v>3</v>
      </c>
      <c r="EF38" s="432">
        <v>3</v>
      </c>
      <c r="EG38" s="432">
        <v>3</v>
      </c>
      <c r="EH38" s="432">
        <v>3</v>
      </c>
      <c r="EI38" s="432">
        <v>3</v>
      </c>
      <c r="EJ38" s="432">
        <v>3</v>
      </c>
      <c r="EK38" s="432">
        <v>3</v>
      </c>
      <c r="EL38" s="432">
        <v>3</v>
      </c>
      <c r="EM38" s="432">
        <v>3</v>
      </c>
      <c r="EN38" s="432">
        <v>3</v>
      </c>
      <c r="EO38" s="432">
        <v>3</v>
      </c>
      <c r="EP38" s="432">
        <v>3</v>
      </c>
      <c r="EQ38" s="432">
        <v>3</v>
      </c>
      <c r="ER38" s="432">
        <v>3</v>
      </c>
      <c r="ES38" s="432">
        <v>3</v>
      </c>
      <c r="ET38" s="432">
        <v>3</v>
      </c>
      <c r="EU38" s="432">
        <v>3</v>
      </c>
      <c r="EV38" s="432">
        <v>3</v>
      </c>
      <c r="EW38" s="432">
        <v>3</v>
      </c>
      <c r="EX38" s="432">
        <v>3</v>
      </c>
      <c r="EY38" s="432">
        <v>3</v>
      </c>
      <c r="EZ38" s="432">
        <v>3</v>
      </c>
      <c r="FA38" s="432">
        <v>3</v>
      </c>
      <c r="FB38" s="432">
        <v>3</v>
      </c>
      <c r="FC38" s="432">
        <v>3</v>
      </c>
      <c r="FD38" s="432">
        <v>3</v>
      </c>
      <c r="FE38" s="432">
        <v>3</v>
      </c>
      <c r="FF38" s="432">
        <v>3</v>
      </c>
      <c r="FG38" s="432">
        <v>3</v>
      </c>
      <c r="FH38" s="432">
        <v>3</v>
      </c>
      <c r="FI38" s="432">
        <v>3</v>
      </c>
      <c r="FJ38" s="432">
        <v>3</v>
      </c>
      <c r="FK38" s="432">
        <v>3</v>
      </c>
      <c r="FL38" s="432">
        <v>3</v>
      </c>
      <c r="FM38" s="432">
        <v>3</v>
      </c>
      <c r="FN38" s="432">
        <v>3</v>
      </c>
      <c r="FO38" s="432">
        <v>3</v>
      </c>
      <c r="FP38" s="432">
        <v>3</v>
      </c>
      <c r="FQ38" s="432">
        <v>3</v>
      </c>
      <c r="FR38" s="432">
        <v>3</v>
      </c>
      <c r="FS38" s="432">
        <v>3</v>
      </c>
      <c r="FT38" s="432">
        <v>3</v>
      </c>
      <c r="FU38" s="432">
        <v>3</v>
      </c>
      <c r="FV38" s="271">
        <f t="shared" si="28"/>
        <v>3</v>
      </c>
      <c r="FW38" s="312"/>
    </row>
    <row r="39" spans="1:179">
      <c r="A39" s="1074"/>
      <c r="B39" s="398" t="s">
        <v>307</v>
      </c>
      <c r="C39" s="399" t="s">
        <v>323</v>
      </c>
      <c r="D39" s="399">
        <v>16.829999999999998</v>
      </c>
      <c r="E39" s="1066"/>
      <c r="F39" s="422" t="s">
        <v>324</v>
      </c>
      <c r="G39" s="423">
        <f>$D$39*G16</f>
        <v>1890053.6248941992</v>
      </c>
      <c r="H39" s="423">
        <f t="shared" ref="H39:BS39" si="37">$D$39*H16</f>
        <v>1890053.6248941992</v>
      </c>
      <c r="I39" s="423">
        <f t="shared" si="37"/>
        <v>1890053.6248941992</v>
      </c>
      <c r="J39" s="423">
        <f t="shared" si="37"/>
        <v>1890053.6248941992</v>
      </c>
      <c r="K39" s="423">
        <f t="shared" si="37"/>
        <v>1890053.6248941992</v>
      </c>
      <c r="L39" s="423">
        <f t="shared" si="37"/>
        <v>1890053.6248941992</v>
      </c>
      <c r="M39" s="423">
        <f t="shared" si="37"/>
        <v>1890053.6248941992</v>
      </c>
      <c r="N39" s="423">
        <f t="shared" si="37"/>
        <v>1890053.6248941992</v>
      </c>
      <c r="O39" s="423">
        <f t="shared" si="37"/>
        <v>1890053.6248941992</v>
      </c>
      <c r="P39" s="423">
        <f t="shared" si="37"/>
        <v>1890053.6248941992</v>
      </c>
      <c r="Q39" s="423">
        <f t="shared" si="37"/>
        <v>1890053.6248941992</v>
      </c>
      <c r="R39" s="423">
        <f t="shared" si="37"/>
        <v>1890053.6248941992</v>
      </c>
      <c r="S39" s="423">
        <f t="shared" si="37"/>
        <v>1890053.6248941992</v>
      </c>
      <c r="T39" s="423">
        <f t="shared" si="37"/>
        <v>1890053.6248941992</v>
      </c>
      <c r="U39" s="423">
        <f t="shared" si="37"/>
        <v>1890053.6248941992</v>
      </c>
      <c r="V39" s="423">
        <f t="shared" si="37"/>
        <v>1890053.6248941992</v>
      </c>
      <c r="W39" s="423">
        <f t="shared" si="37"/>
        <v>1890053.6248941992</v>
      </c>
      <c r="X39" s="423">
        <f t="shared" si="37"/>
        <v>1890053.6248941992</v>
      </c>
      <c r="Y39" s="423">
        <f t="shared" si="37"/>
        <v>1890053.6248941992</v>
      </c>
      <c r="Z39" s="423">
        <f t="shared" si="37"/>
        <v>1890053.6248941992</v>
      </c>
      <c r="AA39" s="423">
        <f t="shared" si="37"/>
        <v>1890053.6248941992</v>
      </c>
      <c r="AB39" s="423">
        <f t="shared" si="37"/>
        <v>1890053.6248941992</v>
      </c>
      <c r="AC39" s="423">
        <f t="shared" si="37"/>
        <v>1890053.6248941992</v>
      </c>
      <c r="AD39" s="423">
        <f t="shared" si="37"/>
        <v>1890053.6248941992</v>
      </c>
      <c r="AE39" s="423">
        <f t="shared" si="37"/>
        <v>1890053.6248941992</v>
      </c>
      <c r="AF39" s="423">
        <f t="shared" si="37"/>
        <v>1890053.6248941992</v>
      </c>
      <c r="AG39" s="423">
        <f t="shared" si="37"/>
        <v>1890053.6248941992</v>
      </c>
      <c r="AH39" s="423">
        <f t="shared" si="37"/>
        <v>1890053.6248941992</v>
      </c>
      <c r="AI39" s="423">
        <f t="shared" si="37"/>
        <v>1890053.6248941992</v>
      </c>
      <c r="AJ39" s="423">
        <f t="shared" si="37"/>
        <v>1890053.6248941992</v>
      </c>
      <c r="AK39" s="423">
        <f t="shared" si="37"/>
        <v>1890053.6248941992</v>
      </c>
      <c r="AL39" s="423">
        <f t="shared" si="37"/>
        <v>1890053.6248941992</v>
      </c>
      <c r="AM39" s="423">
        <f t="shared" si="37"/>
        <v>1890053.6248941992</v>
      </c>
      <c r="AN39" s="423">
        <f t="shared" si="37"/>
        <v>1890053.6248941992</v>
      </c>
      <c r="AO39" s="423">
        <f t="shared" si="37"/>
        <v>1890053.6248941992</v>
      </c>
      <c r="AP39" s="423">
        <f t="shared" si="37"/>
        <v>1890053.6248941992</v>
      </c>
      <c r="AQ39" s="423">
        <f t="shared" si="37"/>
        <v>1890053.6248941992</v>
      </c>
      <c r="AR39" s="423">
        <f t="shared" si="37"/>
        <v>1890053.6248941992</v>
      </c>
      <c r="AS39" s="423">
        <f t="shared" si="37"/>
        <v>1890053.6248941992</v>
      </c>
      <c r="AT39" s="423">
        <f t="shared" si="37"/>
        <v>1890053.6248941992</v>
      </c>
      <c r="AU39" s="423">
        <f t="shared" si="37"/>
        <v>1890053.6248941992</v>
      </c>
      <c r="AV39" s="423">
        <f t="shared" si="37"/>
        <v>1890053.6248941992</v>
      </c>
      <c r="AW39" s="423">
        <f t="shared" si="37"/>
        <v>1890053.6248941992</v>
      </c>
      <c r="AX39" s="423">
        <f t="shared" si="37"/>
        <v>1890053.6248941992</v>
      </c>
      <c r="AY39" s="423">
        <f t="shared" si="37"/>
        <v>1890053.6248941992</v>
      </c>
      <c r="AZ39" s="423">
        <f t="shared" si="37"/>
        <v>1890053.6248941992</v>
      </c>
      <c r="BA39" s="423">
        <f t="shared" si="37"/>
        <v>1890053.6248941992</v>
      </c>
      <c r="BB39" s="423">
        <f t="shared" si="37"/>
        <v>1890053.6248941992</v>
      </c>
      <c r="BC39" s="423">
        <f t="shared" si="37"/>
        <v>1890053.6248941992</v>
      </c>
      <c r="BD39" s="423">
        <f t="shared" si="37"/>
        <v>1890053.6248941992</v>
      </c>
      <c r="BE39" s="423">
        <f t="shared" si="37"/>
        <v>1890053.6248941992</v>
      </c>
      <c r="BF39" s="423">
        <f t="shared" si="37"/>
        <v>1890053.6248941992</v>
      </c>
      <c r="BG39" s="423">
        <f t="shared" si="37"/>
        <v>1890053.6248941992</v>
      </c>
      <c r="BH39" s="423">
        <f t="shared" si="37"/>
        <v>1890053.6248941992</v>
      </c>
      <c r="BI39" s="423">
        <f t="shared" si="37"/>
        <v>1890053.6248941992</v>
      </c>
      <c r="BJ39" s="423">
        <f t="shared" si="37"/>
        <v>1890053.6248941992</v>
      </c>
      <c r="BK39" s="423">
        <f t="shared" si="37"/>
        <v>1890053.6248941992</v>
      </c>
      <c r="BL39" s="423">
        <f t="shared" si="37"/>
        <v>1890053.6248941992</v>
      </c>
      <c r="BM39" s="423">
        <f t="shared" si="37"/>
        <v>1890053.6248941992</v>
      </c>
      <c r="BN39" s="423">
        <f t="shared" si="37"/>
        <v>1890053.6248941992</v>
      </c>
      <c r="BO39" s="423">
        <f t="shared" si="37"/>
        <v>1890053.6248941992</v>
      </c>
      <c r="BP39" s="423">
        <f t="shared" si="37"/>
        <v>1890053.6248941992</v>
      </c>
      <c r="BQ39" s="423">
        <f t="shared" si="37"/>
        <v>1890053.6248941992</v>
      </c>
      <c r="BR39" s="423">
        <f t="shared" si="37"/>
        <v>1890053.6248941992</v>
      </c>
      <c r="BS39" s="423">
        <f t="shared" si="37"/>
        <v>1890053.6248941992</v>
      </c>
      <c r="BT39" s="423">
        <f t="shared" ref="BT39:CM39" si="38">$D$39*BT16</f>
        <v>1890053.6248941992</v>
      </c>
      <c r="BU39" s="423">
        <f t="shared" si="38"/>
        <v>1890053.6248941992</v>
      </c>
      <c r="BV39" s="423">
        <f t="shared" si="38"/>
        <v>1890053.6248941992</v>
      </c>
      <c r="BW39" s="423">
        <f t="shared" si="38"/>
        <v>1890053.6248941992</v>
      </c>
      <c r="BX39" s="423">
        <f t="shared" si="38"/>
        <v>1890053.6248941992</v>
      </c>
      <c r="BY39" s="423">
        <f t="shared" si="38"/>
        <v>1890053.6248941992</v>
      </c>
      <c r="BZ39" s="423">
        <f t="shared" si="38"/>
        <v>1890053.6248941992</v>
      </c>
      <c r="CA39" s="423">
        <f t="shared" si="38"/>
        <v>1890053.6248941992</v>
      </c>
      <c r="CB39" s="423">
        <f t="shared" si="38"/>
        <v>1890053.6248941992</v>
      </c>
      <c r="CC39" s="423">
        <f t="shared" si="38"/>
        <v>1890053.6248941992</v>
      </c>
      <c r="CD39" s="423">
        <f t="shared" si="38"/>
        <v>1890053.6248941992</v>
      </c>
      <c r="CE39" s="423">
        <f t="shared" si="38"/>
        <v>1890053.6248941992</v>
      </c>
      <c r="CF39" s="423">
        <f t="shared" si="38"/>
        <v>1890053.6248941992</v>
      </c>
      <c r="CG39" s="423">
        <f t="shared" si="38"/>
        <v>1890053.6248941992</v>
      </c>
      <c r="CH39" s="423">
        <f t="shared" si="38"/>
        <v>1890053.6248941992</v>
      </c>
      <c r="CI39" s="423">
        <f t="shared" si="38"/>
        <v>1890053.6248941992</v>
      </c>
      <c r="CJ39" s="423">
        <f t="shared" si="38"/>
        <v>1890053.6248941992</v>
      </c>
      <c r="CK39" s="423">
        <f t="shared" si="38"/>
        <v>1890053.6248941992</v>
      </c>
      <c r="CL39" s="423">
        <f t="shared" si="38"/>
        <v>1890053.6248941992</v>
      </c>
      <c r="CM39" s="423">
        <f t="shared" si="38"/>
        <v>1890053.6248941992</v>
      </c>
      <c r="CN39" s="431" t="s">
        <v>220</v>
      </c>
      <c r="CO39" s="432">
        <v>2.4500000000000002</v>
      </c>
      <c r="CP39" s="432">
        <v>2.4500000000000002</v>
      </c>
      <c r="CQ39" s="432">
        <v>2.4500000000000002</v>
      </c>
      <c r="CR39" s="432">
        <v>2.4500000000000002</v>
      </c>
      <c r="CS39" s="432">
        <v>2.4500000000000002</v>
      </c>
      <c r="CT39" s="432">
        <v>2.4500000000000002</v>
      </c>
      <c r="CU39" s="432">
        <v>2.4500000000000002</v>
      </c>
      <c r="CV39" s="432">
        <v>2.4500000000000002</v>
      </c>
      <c r="CW39" s="432">
        <v>2.4500000000000002</v>
      </c>
      <c r="CX39" s="432">
        <v>2.4500000000000002</v>
      </c>
      <c r="CY39" s="432">
        <v>2.4500000000000002</v>
      </c>
      <c r="CZ39" s="432">
        <v>2.4500000000000002</v>
      </c>
      <c r="DA39" s="432">
        <v>2.4500000000000002</v>
      </c>
      <c r="DB39" s="432">
        <v>2.4500000000000002</v>
      </c>
      <c r="DC39" s="432">
        <v>2.4500000000000002</v>
      </c>
      <c r="DD39" s="432">
        <v>2.4500000000000002</v>
      </c>
      <c r="DE39" s="432">
        <v>2.4500000000000002</v>
      </c>
      <c r="DF39" s="432">
        <v>2.4500000000000002</v>
      </c>
      <c r="DG39" s="432">
        <v>2.4500000000000002</v>
      </c>
      <c r="DH39" s="432">
        <v>2.4500000000000002</v>
      </c>
      <c r="DI39" s="432">
        <v>2.4500000000000002</v>
      </c>
      <c r="DJ39" s="432">
        <v>2.4500000000000002</v>
      </c>
      <c r="DK39" s="432">
        <v>2.4500000000000002</v>
      </c>
      <c r="DL39" s="432">
        <v>2.4500000000000002</v>
      </c>
      <c r="DM39" s="432">
        <v>2.4500000000000002</v>
      </c>
      <c r="DN39" s="432">
        <v>2.4500000000000002</v>
      </c>
      <c r="DO39" s="432">
        <v>2.4500000000000002</v>
      </c>
      <c r="DP39" s="432">
        <v>2.4500000000000002</v>
      </c>
      <c r="DQ39" s="432">
        <v>2.4500000000000002</v>
      </c>
      <c r="DR39" s="432">
        <v>2.4500000000000002</v>
      </c>
      <c r="DS39" s="432">
        <v>2.4500000000000002</v>
      </c>
      <c r="DT39" s="432">
        <v>2.4500000000000002</v>
      </c>
      <c r="DU39" s="432">
        <v>2.4500000000000002</v>
      </c>
      <c r="DV39" s="432">
        <v>2.4500000000000002</v>
      </c>
      <c r="DW39" s="432">
        <v>2.4500000000000002</v>
      </c>
      <c r="DX39" s="432">
        <v>2.4500000000000002</v>
      </c>
      <c r="DY39" s="432">
        <v>2.4500000000000002</v>
      </c>
      <c r="DZ39" s="432">
        <v>2.4500000000000002</v>
      </c>
      <c r="EA39" s="432">
        <v>2.4500000000000002</v>
      </c>
      <c r="EB39" s="432">
        <v>2.4500000000000002</v>
      </c>
      <c r="EC39" s="432">
        <v>2.4500000000000002</v>
      </c>
      <c r="ED39" s="432">
        <v>2.4500000000000002</v>
      </c>
      <c r="EE39" s="432">
        <v>2.4500000000000002</v>
      </c>
      <c r="EF39" s="432">
        <v>2.4500000000000002</v>
      </c>
      <c r="EG39" s="432">
        <v>2.4500000000000002</v>
      </c>
      <c r="EH39" s="432">
        <v>2.4500000000000002</v>
      </c>
      <c r="EI39" s="432">
        <v>2.4500000000000002</v>
      </c>
      <c r="EJ39" s="432">
        <v>2.4500000000000002</v>
      </c>
      <c r="EK39" s="432">
        <v>2.4500000000000002</v>
      </c>
      <c r="EL39" s="432">
        <v>2.4500000000000002</v>
      </c>
      <c r="EM39" s="432">
        <v>2.4500000000000002</v>
      </c>
      <c r="EN39" s="432">
        <v>2.4500000000000002</v>
      </c>
      <c r="EO39" s="432">
        <v>2.4500000000000002</v>
      </c>
      <c r="EP39" s="432">
        <v>2.4500000000000002</v>
      </c>
      <c r="EQ39" s="432">
        <v>2.4500000000000002</v>
      </c>
      <c r="ER39" s="432">
        <v>2.4500000000000002</v>
      </c>
      <c r="ES39" s="432">
        <v>2.4500000000000002</v>
      </c>
      <c r="ET39" s="432">
        <v>2.4500000000000002</v>
      </c>
      <c r="EU39" s="432">
        <v>2.4500000000000002</v>
      </c>
      <c r="EV39" s="432">
        <v>2.4500000000000002</v>
      </c>
      <c r="EW39" s="432">
        <v>2.4500000000000002</v>
      </c>
      <c r="EX39" s="432">
        <v>2.4500000000000002</v>
      </c>
      <c r="EY39" s="432">
        <v>2.4500000000000002</v>
      </c>
      <c r="EZ39" s="432">
        <v>2.4500000000000002</v>
      </c>
      <c r="FA39" s="432">
        <v>2.4500000000000002</v>
      </c>
      <c r="FB39" s="432">
        <v>2.4500000000000002</v>
      </c>
      <c r="FC39" s="432">
        <v>2.4500000000000002</v>
      </c>
      <c r="FD39" s="432">
        <v>2.4500000000000002</v>
      </c>
      <c r="FE39" s="432">
        <v>2.4500000000000002</v>
      </c>
      <c r="FF39" s="432">
        <v>2.4500000000000002</v>
      </c>
      <c r="FG39" s="432">
        <v>2.4500000000000002</v>
      </c>
      <c r="FH39" s="432">
        <v>2.4500000000000002</v>
      </c>
      <c r="FI39" s="432">
        <v>2.4500000000000002</v>
      </c>
      <c r="FJ39" s="432">
        <v>2.4500000000000002</v>
      </c>
      <c r="FK39" s="432">
        <v>2.4500000000000002</v>
      </c>
      <c r="FL39" s="432">
        <v>2.4500000000000002</v>
      </c>
      <c r="FM39" s="432">
        <v>2.4500000000000002</v>
      </c>
      <c r="FN39" s="432">
        <v>2.4500000000000002</v>
      </c>
      <c r="FO39" s="432">
        <v>2.4500000000000002</v>
      </c>
      <c r="FP39" s="432">
        <v>2.4500000000000002</v>
      </c>
      <c r="FQ39" s="432">
        <v>2.4500000000000002</v>
      </c>
      <c r="FR39" s="432">
        <v>2.4500000000000002</v>
      </c>
      <c r="FS39" s="432">
        <v>2.4500000000000002</v>
      </c>
      <c r="FT39" s="432">
        <v>2.4500000000000002</v>
      </c>
      <c r="FU39" s="432">
        <v>2.4500000000000002</v>
      </c>
      <c r="FV39" s="271">
        <f t="shared" si="28"/>
        <v>2.450000000000002</v>
      </c>
      <c r="FW39" s="312"/>
    </row>
    <row r="40" spans="1:179">
      <c r="A40" s="1074"/>
      <c r="B40" s="398" t="s">
        <v>307</v>
      </c>
      <c r="C40" s="399" t="s">
        <v>148</v>
      </c>
      <c r="D40" s="399">
        <v>2.8000000000000001E-2</v>
      </c>
      <c r="E40" s="1066"/>
      <c r="F40" s="433" t="s">
        <v>325</v>
      </c>
      <c r="G40" s="423">
        <f t="shared" ref="G40:BR40" si="39">$D$40*G16</f>
        <v>3144.4742422482227</v>
      </c>
      <c r="H40" s="423">
        <f t="shared" si="39"/>
        <v>3144.4742422482227</v>
      </c>
      <c r="I40" s="423">
        <f t="shared" si="39"/>
        <v>3144.4742422482227</v>
      </c>
      <c r="J40" s="423">
        <f t="shared" si="39"/>
        <v>3144.4742422482227</v>
      </c>
      <c r="K40" s="423">
        <f t="shared" si="39"/>
        <v>3144.4742422482227</v>
      </c>
      <c r="L40" s="423">
        <f t="shared" si="39"/>
        <v>3144.4742422482227</v>
      </c>
      <c r="M40" s="423">
        <f t="shared" si="39"/>
        <v>3144.4742422482227</v>
      </c>
      <c r="N40" s="423">
        <f t="shared" si="39"/>
        <v>3144.4742422482227</v>
      </c>
      <c r="O40" s="423">
        <f t="shared" si="39"/>
        <v>3144.4742422482227</v>
      </c>
      <c r="P40" s="423">
        <f t="shared" si="39"/>
        <v>3144.4742422482227</v>
      </c>
      <c r="Q40" s="423">
        <f t="shared" si="39"/>
        <v>3144.4742422482227</v>
      </c>
      <c r="R40" s="423">
        <f t="shared" si="39"/>
        <v>3144.4742422482227</v>
      </c>
      <c r="S40" s="423">
        <f t="shared" si="39"/>
        <v>3144.4742422482227</v>
      </c>
      <c r="T40" s="423">
        <f t="shared" si="39"/>
        <v>3144.4742422482227</v>
      </c>
      <c r="U40" s="423">
        <f t="shared" si="39"/>
        <v>3144.4742422482227</v>
      </c>
      <c r="V40" s="423">
        <f t="shared" si="39"/>
        <v>3144.4742422482227</v>
      </c>
      <c r="W40" s="423">
        <f t="shared" si="39"/>
        <v>3144.4742422482227</v>
      </c>
      <c r="X40" s="423">
        <f t="shared" si="39"/>
        <v>3144.4742422482227</v>
      </c>
      <c r="Y40" s="423">
        <f t="shared" si="39"/>
        <v>3144.4742422482227</v>
      </c>
      <c r="Z40" s="423">
        <f t="shared" si="39"/>
        <v>3144.4742422482227</v>
      </c>
      <c r="AA40" s="423">
        <f t="shared" si="39"/>
        <v>3144.4742422482227</v>
      </c>
      <c r="AB40" s="423">
        <f t="shared" si="39"/>
        <v>3144.4742422482227</v>
      </c>
      <c r="AC40" s="423">
        <f t="shared" si="39"/>
        <v>3144.4742422482227</v>
      </c>
      <c r="AD40" s="423">
        <f t="shared" si="39"/>
        <v>3144.4742422482227</v>
      </c>
      <c r="AE40" s="423">
        <f t="shared" si="39"/>
        <v>3144.4742422482227</v>
      </c>
      <c r="AF40" s="423">
        <f t="shared" si="39"/>
        <v>3144.4742422482227</v>
      </c>
      <c r="AG40" s="423">
        <f t="shared" si="39"/>
        <v>3144.4742422482227</v>
      </c>
      <c r="AH40" s="423">
        <f t="shared" si="39"/>
        <v>3144.4742422482227</v>
      </c>
      <c r="AI40" s="423">
        <f t="shared" si="39"/>
        <v>3144.4742422482227</v>
      </c>
      <c r="AJ40" s="423">
        <f t="shared" si="39"/>
        <v>3144.4742422482227</v>
      </c>
      <c r="AK40" s="423">
        <f t="shared" si="39"/>
        <v>3144.4742422482227</v>
      </c>
      <c r="AL40" s="423">
        <f t="shared" si="39"/>
        <v>3144.4742422482227</v>
      </c>
      <c r="AM40" s="423">
        <f t="shared" si="39"/>
        <v>3144.4742422482227</v>
      </c>
      <c r="AN40" s="423">
        <f t="shared" si="39"/>
        <v>3144.4742422482227</v>
      </c>
      <c r="AO40" s="423">
        <f t="shared" si="39"/>
        <v>3144.4742422482227</v>
      </c>
      <c r="AP40" s="423">
        <f t="shared" si="39"/>
        <v>3144.4742422482227</v>
      </c>
      <c r="AQ40" s="423">
        <f t="shared" si="39"/>
        <v>3144.4742422482227</v>
      </c>
      <c r="AR40" s="423">
        <f t="shared" si="39"/>
        <v>3144.4742422482227</v>
      </c>
      <c r="AS40" s="423">
        <f t="shared" si="39"/>
        <v>3144.4742422482227</v>
      </c>
      <c r="AT40" s="423">
        <f t="shared" si="39"/>
        <v>3144.4742422482227</v>
      </c>
      <c r="AU40" s="424">
        <f t="shared" si="39"/>
        <v>3144.4742422482227</v>
      </c>
      <c r="AV40" s="424">
        <f t="shared" si="39"/>
        <v>3144.4742422482227</v>
      </c>
      <c r="AW40" s="424">
        <f t="shared" si="39"/>
        <v>3144.4742422482227</v>
      </c>
      <c r="AX40" s="424">
        <f t="shared" si="39"/>
        <v>3144.4742422482227</v>
      </c>
      <c r="AY40" s="424">
        <f t="shared" si="39"/>
        <v>3144.4742422482227</v>
      </c>
      <c r="AZ40" s="424">
        <f t="shared" si="39"/>
        <v>3144.4742422482227</v>
      </c>
      <c r="BA40" s="424">
        <f t="shared" si="39"/>
        <v>3144.4742422482227</v>
      </c>
      <c r="BB40" s="424">
        <f t="shared" si="39"/>
        <v>3144.4742422482227</v>
      </c>
      <c r="BC40" s="424">
        <f t="shared" si="39"/>
        <v>3144.4742422482227</v>
      </c>
      <c r="BD40" s="424">
        <f t="shared" si="39"/>
        <v>3144.4742422482227</v>
      </c>
      <c r="BE40" s="424">
        <f t="shared" si="39"/>
        <v>3144.4742422482227</v>
      </c>
      <c r="BF40" s="424">
        <f t="shared" si="39"/>
        <v>3144.4742422482227</v>
      </c>
      <c r="BG40" s="424">
        <f t="shared" si="39"/>
        <v>3144.4742422482227</v>
      </c>
      <c r="BH40" s="424">
        <f t="shared" si="39"/>
        <v>3144.4742422482227</v>
      </c>
      <c r="BI40" s="424">
        <f t="shared" si="39"/>
        <v>3144.4742422482227</v>
      </c>
      <c r="BJ40" s="424">
        <f t="shared" si="39"/>
        <v>3144.4742422482227</v>
      </c>
      <c r="BK40" s="424">
        <f t="shared" si="39"/>
        <v>3144.4742422482227</v>
      </c>
      <c r="BL40" s="424">
        <f t="shared" si="39"/>
        <v>3144.4742422482227</v>
      </c>
      <c r="BM40" s="424">
        <f t="shared" si="39"/>
        <v>3144.4742422482227</v>
      </c>
      <c r="BN40" s="424">
        <f t="shared" si="39"/>
        <v>3144.4742422482227</v>
      </c>
      <c r="BO40" s="424">
        <f t="shared" si="39"/>
        <v>3144.4742422482227</v>
      </c>
      <c r="BP40" s="424">
        <f t="shared" si="39"/>
        <v>3144.4742422482227</v>
      </c>
      <c r="BQ40" s="424">
        <f t="shared" si="39"/>
        <v>3144.4742422482227</v>
      </c>
      <c r="BR40" s="424">
        <f t="shared" si="39"/>
        <v>3144.4742422482227</v>
      </c>
      <c r="BS40" s="424">
        <f t="shared" ref="BS40:CL40" si="40">$D$40*BS16</f>
        <v>3144.4742422482227</v>
      </c>
      <c r="BT40" s="424">
        <f t="shared" si="40"/>
        <v>3144.4742422482227</v>
      </c>
      <c r="BU40" s="424">
        <f t="shared" si="40"/>
        <v>3144.4742422482227</v>
      </c>
      <c r="BV40" s="424">
        <f t="shared" si="40"/>
        <v>3144.4742422482227</v>
      </c>
      <c r="BW40" s="424">
        <f t="shared" si="40"/>
        <v>3144.4742422482227</v>
      </c>
      <c r="BX40" s="424">
        <f t="shared" si="40"/>
        <v>3144.4742422482227</v>
      </c>
      <c r="BY40" s="424">
        <f t="shared" si="40"/>
        <v>3144.4742422482227</v>
      </c>
      <c r="BZ40" s="424">
        <f t="shared" si="40"/>
        <v>3144.4742422482227</v>
      </c>
      <c r="CA40" s="424">
        <f t="shared" si="40"/>
        <v>3144.4742422482227</v>
      </c>
      <c r="CB40" s="424">
        <f t="shared" si="40"/>
        <v>3144.4742422482227</v>
      </c>
      <c r="CC40" s="424">
        <f t="shared" si="40"/>
        <v>3144.4742422482227</v>
      </c>
      <c r="CD40" s="424">
        <f t="shared" si="40"/>
        <v>3144.4742422482227</v>
      </c>
      <c r="CE40" s="424">
        <f t="shared" si="40"/>
        <v>3144.4742422482227</v>
      </c>
      <c r="CF40" s="424">
        <f t="shared" si="40"/>
        <v>3144.4742422482227</v>
      </c>
      <c r="CG40" s="424">
        <f t="shared" si="40"/>
        <v>3144.4742422482227</v>
      </c>
      <c r="CH40" s="424">
        <f t="shared" si="40"/>
        <v>3144.4742422482227</v>
      </c>
      <c r="CI40" s="424">
        <f t="shared" si="40"/>
        <v>3144.4742422482227</v>
      </c>
      <c r="CJ40" s="424">
        <f t="shared" si="40"/>
        <v>3144.4742422482227</v>
      </c>
      <c r="CK40" s="424">
        <f t="shared" si="40"/>
        <v>3144.4742422482227</v>
      </c>
      <c r="CL40" s="422">
        <f t="shared" si="40"/>
        <v>3144.4742422482227</v>
      </c>
      <c r="CM40" s="397">
        <f t="shared" si="24"/>
        <v>3144.4742422482223</v>
      </c>
      <c r="CN40" s="431" t="s">
        <v>221</v>
      </c>
      <c r="CO40" s="432">
        <v>752</v>
      </c>
      <c r="CP40" s="432">
        <v>752</v>
      </c>
      <c r="CQ40" s="432">
        <v>752</v>
      </c>
      <c r="CR40" s="432">
        <v>752</v>
      </c>
      <c r="CS40" s="432">
        <v>752</v>
      </c>
      <c r="CT40" s="432">
        <v>752</v>
      </c>
      <c r="CU40" s="432">
        <v>752</v>
      </c>
      <c r="CV40" s="432">
        <v>752</v>
      </c>
      <c r="CW40" s="432">
        <v>752</v>
      </c>
      <c r="CX40" s="432">
        <v>752</v>
      </c>
      <c r="CY40" s="432">
        <v>752</v>
      </c>
      <c r="CZ40" s="432">
        <v>752</v>
      </c>
      <c r="DA40" s="432">
        <v>752</v>
      </c>
      <c r="DB40" s="432">
        <v>752</v>
      </c>
      <c r="DC40" s="432">
        <v>752</v>
      </c>
      <c r="DD40" s="432">
        <v>752</v>
      </c>
      <c r="DE40" s="432">
        <v>752</v>
      </c>
      <c r="DF40" s="432">
        <v>752</v>
      </c>
      <c r="DG40" s="432">
        <v>752</v>
      </c>
      <c r="DH40" s="432">
        <v>752</v>
      </c>
      <c r="DI40" s="432">
        <v>752</v>
      </c>
      <c r="DJ40" s="432">
        <v>752</v>
      </c>
      <c r="DK40" s="432">
        <v>752</v>
      </c>
      <c r="DL40" s="432">
        <v>752</v>
      </c>
      <c r="DM40" s="432">
        <v>752</v>
      </c>
      <c r="DN40" s="432">
        <v>752</v>
      </c>
      <c r="DO40" s="432">
        <v>752</v>
      </c>
      <c r="DP40" s="432">
        <v>752</v>
      </c>
      <c r="DQ40" s="432">
        <v>752</v>
      </c>
      <c r="DR40" s="432">
        <v>752</v>
      </c>
      <c r="DS40" s="432">
        <v>752</v>
      </c>
      <c r="DT40" s="432">
        <v>752</v>
      </c>
      <c r="DU40" s="432">
        <v>752</v>
      </c>
      <c r="DV40" s="432">
        <v>752</v>
      </c>
      <c r="DW40" s="432">
        <v>752</v>
      </c>
      <c r="DX40" s="432">
        <v>752</v>
      </c>
      <c r="DY40" s="432">
        <v>752</v>
      </c>
      <c r="DZ40" s="432">
        <v>752</v>
      </c>
      <c r="EA40" s="432">
        <v>752</v>
      </c>
      <c r="EB40" s="432">
        <v>752</v>
      </c>
      <c r="EC40" s="432">
        <v>752</v>
      </c>
      <c r="ED40" s="432">
        <v>752</v>
      </c>
      <c r="EE40" s="432">
        <v>752</v>
      </c>
      <c r="EF40" s="432">
        <v>752</v>
      </c>
      <c r="EG40" s="432">
        <v>752</v>
      </c>
      <c r="EH40" s="432">
        <v>752</v>
      </c>
      <c r="EI40" s="432">
        <v>752</v>
      </c>
      <c r="EJ40" s="432">
        <v>752</v>
      </c>
      <c r="EK40" s="432">
        <v>752</v>
      </c>
      <c r="EL40" s="432">
        <v>752</v>
      </c>
      <c r="EM40" s="432">
        <v>752</v>
      </c>
      <c r="EN40" s="432">
        <v>752</v>
      </c>
      <c r="EO40" s="432">
        <v>752</v>
      </c>
      <c r="EP40" s="432">
        <v>752</v>
      </c>
      <c r="EQ40" s="432">
        <v>752</v>
      </c>
      <c r="ER40" s="432">
        <v>752</v>
      </c>
      <c r="ES40" s="432">
        <v>752</v>
      </c>
      <c r="ET40" s="432">
        <v>752</v>
      </c>
      <c r="EU40" s="432">
        <v>752</v>
      </c>
      <c r="EV40" s="432">
        <v>752</v>
      </c>
      <c r="EW40" s="432">
        <v>752</v>
      </c>
      <c r="EX40" s="432">
        <v>752</v>
      </c>
      <c r="EY40" s="432">
        <v>752</v>
      </c>
      <c r="EZ40" s="432">
        <v>752</v>
      </c>
      <c r="FA40" s="432">
        <v>752</v>
      </c>
      <c r="FB40" s="432">
        <v>752</v>
      </c>
      <c r="FC40" s="432">
        <v>752</v>
      </c>
      <c r="FD40" s="432">
        <v>752</v>
      </c>
      <c r="FE40" s="432">
        <v>752</v>
      </c>
      <c r="FF40" s="432">
        <v>752</v>
      </c>
      <c r="FG40" s="432">
        <v>752</v>
      </c>
      <c r="FH40" s="432">
        <v>752</v>
      </c>
      <c r="FI40" s="432">
        <v>752</v>
      </c>
      <c r="FJ40" s="432">
        <v>752</v>
      </c>
      <c r="FK40" s="432">
        <v>752</v>
      </c>
      <c r="FL40" s="432">
        <v>752</v>
      </c>
      <c r="FM40" s="432">
        <v>752</v>
      </c>
      <c r="FN40" s="432">
        <v>752</v>
      </c>
      <c r="FO40" s="432">
        <v>752</v>
      </c>
      <c r="FP40" s="432">
        <v>752</v>
      </c>
      <c r="FQ40" s="432">
        <v>752</v>
      </c>
      <c r="FR40" s="432">
        <v>752</v>
      </c>
      <c r="FS40" s="432">
        <v>752</v>
      </c>
      <c r="FT40" s="432">
        <v>752</v>
      </c>
      <c r="FU40" s="432">
        <v>752</v>
      </c>
      <c r="FV40" s="271">
        <f t="shared" si="28"/>
        <v>752</v>
      </c>
      <c r="FW40" s="312"/>
    </row>
    <row r="41" spans="1:179">
      <c r="A41" s="434"/>
      <c r="B41" s="435" t="s">
        <v>307</v>
      </c>
      <c r="C41" s="436" t="s">
        <v>326</v>
      </c>
      <c r="D41" s="436"/>
      <c r="E41" s="437"/>
      <c r="F41" s="438" t="s">
        <v>327</v>
      </c>
      <c r="G41" s="439">
        <f t="shared" ref="G41:N41" si="41">G34*CP35+G36*CP36+G37*CP34+G38*CP37+G35*CP38+CP39*G39+G40*CP40</f>
        <v>585611689.03351569</v>
      </c>
      <c r="H41" s="439">
        <f t="shared" si="41"/>
        <v>585611689.03351569</v>
      </c>
      <c r="I41" s="439">
        <f t="shared" si="41"/>
        <v>585611689.03351569</v>
      </c>
      <c r="J41" s="439">
        <f t="shared" si="41"/>
        <v>585613575.71806097</v>
      </c>
      <c r="K41" s="439">
        <f t="shared" si="41"/>
        <v>586050994.54568803</v>
      </c>
      <c r="L41" s="439">
        <f t="shared" si="41"/>
        <v>586051623.4405365</v>
      </c>
      <c r="M41" s="439">
        <f t="shared" si="41"/>
        <v>586051623.4405365</v>
      </c>
      <c r="N41" s="439">
        <f t="shared" si="41"/>
        <v>587280193.9073875</v>
      </c>
      <c r="O41" s="439">
        <f t="shared" ref="O41:AT41" si="42">O34*CX35+O36*CX36+O37*CX34+O38*CX37+O35*CX38+CX39*O39+O40*CX40</f>
        <v>586052252.33538496</v>
      </c>
      <c r="P41" s="439">
        <f t="shared" si="42"/>
        <v>587282552.26306915</v>
      </c>
      <c r="Q41" s="439">
        <f t="shared" si="42"/>
        <v>588510493.83507359</v>
      </c>
      <c r="R41" s="439">
        <f t="shared" si="42"/>
        <v>589738435.40707803</v>
      </c>
      <c r="S41" s="439">
        <f t="shared" si="42"/>
        <v>590967005.87392902</v>
      </c>
      <c r="T41" s="439">
        <f t="shared" si="42"/>
        <v>592197065.64722669</v>
      </c>
      <c r="U41" s="439">
        <f t="shared" si="42"/>
        <v>593425235.4110558</v>
      </c>
      <c r="V41" s="439">
        <f t="shared" si="42"/>
        <v>594754007.01889038</v>
      </c>
      <c r="W41" s="439">
        <f t="shared" si="42"/>
        <v>595945496.41005588</v>
      </c>
      <c r="X41" s="439">
        <f t="shared" si="42"/>
        <v>597136985.80121982</v>
      </c>
      <c r="Y41" s="439">
        <f t="shared" si="42"/>
        <v>598328475.19238555</v>
      </c>
      <c r="Z41" s="439">
        <f t="shared" si="42"/>
        <v>599519964.58355129</v>
      </c>
      <c r="AA41" s="439">
        <f t="shared" si="42"/>
        <v>600711453.97471511</v>
      </c>
      <c r="AB41" s="439">
        <f t="shared" si="42"/>
        <v>601902943.36588085</v>
      </c>
      <c r="AC41" s="439">
        <f t="shared" si="42"/>
        <v>603094432.75704658</v>
      </c>
      <c r="AD41" s="439">
        <f t="shared" si="42"/>
        <v>604285922.14821041</v>
      </c>
      <c r="AE41" s="439">
        <f t="shared" si="42"/>
        <v>605479072.17649579</v>
      </c>
      <c r="AF41" s="439">
        <f t="shared" si="42"/>
        <v>606668900.93053997</v>
      </c>
      <c r="AG41" s="439">
        <f t="shared" si="42"/>
        <v>607860808.45661557</v>
      </c>
      <c r="AH41" s="439">
        <f t="shared" si="42"/>
        <v>609051879.71287131</v>
      </c>
      <c r="AI41" s="439">
        <f t="shared" si="42"/>
        <v>610243369.10403514</v>
      </c>
      <c r="AJ41" s="439">
        <f t="shared" si="42"/>
        <v>611434858.49520087</v>
      </c>
      <c r="AK41" s="439">
        <f t="shared" si="42"/>
        <v>612626347.88636661</v>
      </c>
      <c r="AL41" s="439">
        <f t="shared" si="42"/>
        <v>613817837.27753043</v>
      </c>
      <c r="AM41" s="439">
        <f t="shared" si="42"/>
        <v>615009326.66869617</v>
      </c>
      <c r="AN41" s="439">
        <f t="shared" si="42"/>
        <v>616200816.05985999</v>
      </c>
      <c r="AO41" s="439">
        <f t="shared" si="42"/>
        <v>617392305.45102572</v>
      </c>
      <c r="AP41" s="439">
        <f t="shared" si="42"/>
        <v>618583794.84219134</v>
      </c>
      <c r="AQ41" s="439">
        <f t="shared" si="42"/>
        <v>619775284.23335528</v>
      </c>
      <c r="AR41" s="439">
        <f t="shared" si="42"/>
        <v>620966773.62452102</v>
      </c>
      <c r="AS41" s="439">
        <f t="shared" si="42"/>
        <v>622158263.01568675</v>
      </c>
      <c r="AT41" s="439">
        <f t="shared" si="42"/>
        <v>487360378.26627934</v>
      </c>
      <c r="AU41" s="440">
        <f t="shared" ref="AU41:BZ41" si="43">AU34*ED35+AU36*ED36+AU37*ED34+AU38*ED37+AU35*ED38+ED39*AU39+AU40*ED40</f>
        <v>593685215.7866534</v>
      </c>
      <c r="AV41" s="440">
        <f t="shared" si="43"/>
        <v>596840820.69807696</v>
      </c>
      <c r="AW41" s="440">
        <f t="shared" si="43"/>
        <v>576610920.14729047</v>
      </c>
      <c r="AX41" s="440">
        <f t="shared" si="43"/>
        <v>626241831.53895569</v>
      </c>
      <c r="AY41" s="440">
        <f t="shared" si="43"/>
        <v>678632486.52945137</v>
      </c>
      <c r="AZ41" s="440">
        <f t="shared" si="43"/>
        <v>693680039.59946072</v>
      </c>
      <c r="BA41" s="440">
        <f t="shared" si="43"/>
        <v>703263646.33744085</v>
      </c>
      <c r="BB41" s="440">
        <f t="shared" si="43"/>
        <v>692570186.59853482</v>
      </c>
      <c r="BC41" s="440">
        <f t="shared" si="43"/>
        <v>741818216.76020801</v>
      </c>
      <c r="BD41" s="440">
        <f t="shared" si="43"/>
        <v>702259858.56839967</v>
      </c>
      <c r="BE41" s="440">
        <f t="shared" si="43"/>
        <v>661293444.65653121</v>
      </c>
      <c r="BF41" s="440">
        <f t="shared" si="43"/>
        <v>654362245.21137512</v>
      </c>
      <c r="BG41" s="440">
        <f t="shared" si="43"/>
        <v>705730728.97777033</v>
      </c>
      <c r="BH41" s="440">
        <f t="shared" si="43"/>
        <v>634887423.21680617</v>
      </c>
      <c r="BI41" s="440">
        <f t="shared" si="43"/>
        <v>566827051.11023867</v>
      </c>
      <c r="BJ41" s="440">
        <f t="shared" si="43"/>
        <v>554924595.74348211</v>
      </c>
      <c r="BK41" s="440">
        <f t="shared" si="43"/>
        <v>586546888.65799999</v>
      </c>
      <c r="BL41" s="440">
        <f t="shared" si="43"/>
        <v>633693619.36047447</v>
      </c>
      <c r="BM41" s="440">
        <f t="shared" si="43"/>
        <v>585294938.69897914</v>
      </c>
      <c r="BN41" s="440">
        <f t="shared" si="43"/>
        <v>568525524.94666028</v>
      </c>
      <c r="BO41" s="440">
        <f t="shared" si="43"/>
        <v>668982953.21524143</v>
      </c>
      <c r="BP41" s="440">
        <f t="shared" si="43"/>
        <v>657961784.37119925</v>
      </c>
      <c r="BQ41" s="440">
        <f t="shared" si="43"/>
        <v>718459110.43637335</v>
      </c>
      <c r="BR41" s="440">
        <f t="shared" si="43"/>
        <v>622547457.66530287</v>
      </c>
      <c r="BS41" s="440">
        <f t="shared" si="43"/>
        <v>598832079.99610019</v>
      </c>
      <c r="BT41" s="440">
        <f t="shared" si="43"/>
        <v>444710144.65783358</v>
      </c>
      <c r="BU41" s="440">
        <f t="shared" si="43"/>
        <v>534369122.700845</v>
      </c>
      <c r="BV41" s="440">
        <f t="shared" si="43"/>
        <v>512434460.79502738</v>
      </c>
      <c r="BW41" s="440">
        <f t="shared" si="43"/>
        <v>387945444.28138983</v>
      </c>
      <c r="BX41" s="440">
        <f t="shared" si="43"/>
        <v>373138227.37729454</v>
      </c>
      <c r="BY41" s="440">
        <f t="shared" si="43"/>
        <v>425903785.41244686</v>
      </c>
      <c r="BZ41" s="440">
        <f t="shared" si="43"/>
        <v>489750863.73656225</v>
      </c>
      <c r="CA41" s="440">
        <f t="shared" ref="CA41:CL41" si="44">CA34*FJ35+CA36*FJ36+CA37*FJ34+CA38*FJ37+CA35*FJ38+FJ39*CA39+CA40*FJ40</f>
        <v>511381207.91732121</v>
      </c>
      <c r="CB41" s="440">
        <f t="shared" si="44"/>
        <v>557570187.91693258</v>
      </c>
      <c r="CC41" s="440">
        <f t="shared" si="44"/>
        <v>598003174.12531316</v>
      </c>
      <c r="CD41" s="440">
        <f t="shared" si="44"/>
        <v>678696627.20882642</v>
      </c>
      <c r="CE41" s="440">
        <f t="shared" si="44"/>
        <v>788122163.39789057</v>
      </c>
      <c r="CF41" s="440">
        <f t="shared" si="44"/>
        <v>705680977.83974016</v>
      </c>
      <c r="CG41" s="440">
        <f t="shared" si="44"/>
        <v>600546829.18198895</v>
      </c>
      <c r="CH41" s="440">
        <f t="shared" si="44"/>
        <v>595086123.9826355</v>
      </c>
      <c r="CI41" s="440">
        <f t="shared" si="44"/>
        <v>643695091.35908115</v>
      </c>
      <c r="CJ41" s="440">
        <f t="shared" si="44"/>
        <v>718157824.88290548</v>
      </c>
      <c r="CK41" s="440">
        <f t="shared" si="44"/>
        <v>819008076.59619951</v>
      </c>
      <c r="CL41" s="441">
        <f t="shared" si="44"/>
        <v>879469757.79978478</v>
      </c>
      <c r="CM41" s="442">
        <f t="shared" si="24"/>
        <v>609458440.19497406</v>
      </c>
      <c r="CN41" s="443" t="s">
        <v>181</v>
      </c>
      <c r="CO41" s="444">
        <f t="shared" ref="CO41:EB41" si="45">0.75*CO36</f>
        <v>27.734853846153825</v>
      </c>
      <c r="CP41" s="444">
        <f t="shared" si="45"/>
        <v>27.734853846153825</v>
      </c>
      <c r="CQ41" s="444">
        <f t="shared" si="45"/>
        <v>27.734853846153825</v>
      </c>
      <c r="CR41" s="444">
        <f t="shared" si="45"/>
        <v>27.734853846153825</v>
      </c>
      <c r="CS41" s="444">
        <f t="shared" si="45"/>
        <v>27.734853846153825</v>
      </c>
      <c r="CT41" s="444">
        <f t="shared" si="45"/>
        <v>27.734853846153825</v>
      </c>
      <c r="CU41" s="444">
        <f t="shared" si="45"/>
        <v>27.734853846153825</v>
      </c>
      <c r="CV41" s="444">
        <f t="shared" si="45"/>
        <v>27.734853846153825</v>
      </c>
      <c r="CW41" s="444">
        <f t="shared" si="45"/>
        <v>28.317217948717946</v>
      </c>
      <c r="CX41" s="444">
        <f t="shared" si="45"/>
        <v>27.734853846153825</v>
      </c>
      <c r="CY41" s="444">
        <f t="shared" si="45"/>
        <v>28.317217948717946</v>
      </c>
      <c r="CZ41" s="444">
        <f t="shared" si="45"/>
        <v>28.899582051282074</v>
      </c>
      <c r="DA41" s="444">
        <f t="shared" si="45"/>
        <v>29.481946153846124</v>
      </c>
      <c r="DB41" s="444">
        <f t="shared" si="45"/>
        <v>30.064310256410252</v>
      </c>
      <c r="DC41" s="444">
        <f t="shared" si="45"/>
        <v>30.646674358974373</v>
      </c>
      <c r="DD41" s="444">
        <f t="shared" si="45"/>
        <v>31.229038461538501</v>
      </c>
      <c r="DE41" s="444">
        <f t="shared" si="45"/>
        <v>31.811402564102551</v>
      </c>
      <c r="DF41" s="444">
        <f t="shared" si="45"/>
        <v>32.393766666666671</v>
      </c>
      <c r="DG41" s="444">
        <f t="shared" si="45"/>
        <v>32.976130769230799</v>
      </c>
      <c r="DH41" s="444">
        <f t="shared" si="45"/>
        <v>33.558494871794849</v>
      </c>
      <c r="DI41" s="444">
        <f t="shared" si="45"/>
        <v>34.140858974358977</v>
      </c>
      <c r="DJ41" s="444">
        <f t="shared" si="45"/>
        <v>34.723223076923098</v>
      </c>
      <c r="DK41" s="444">
        <f t="shared" si="45"/>
        <v>35.305587179487148</v>
      </c>
      <c r="DL41" s="444">
        <f t="shared" si="45"/>
        <v>35.887951282051276</v>
      </c>
      <c r="DM41" s="444">
        <f t="shared" si="45"/>
        <v>36.470315384615397</v>
      </c>
      <c r="DN41" s="444">
        <f t="shared" si="45"/>
        <v>37.052679487179525</v>
      </c>
      <c r="DO41" s="444">
        <f t="shared" si="45"/>
        <v>37.635043589743574</v>
      </c>
      <c r="DP41" s="444">
        <f t="shared" si="45"/>
        <v>38.217407692307702</v>
      </c>
      <c r="DQ41" s="444">
        <f t="shared" si="45"/>
        <v>38.799771794871823</v>
      </c>
      <c r="DR41" s="444">
        <f t="shared" si="45"/>
        <v>39.382135897435873</v>
      </c>
      <c r="DS41" s="444">
        <f t="shared" si="45"/>
        <v>39.964500000000001</v>
      </c>
      <c r="DT41" s="444">
        <f t="shared" si="45"/>
        <v>40.546864102564122</v>
      </c>
      <c r="DU41" s="444">
        <f t="shared" si="45"/>
        <v>41.129228205128179</v>
      </c>
      <c r="DV41" s="444">
        <f t="shared" si="45"/>
        <v>41.7115923076923</v>
      </c>
      <c r="DW41" s="444">
        <f t="shared" si="45"/>
        <v>42.293956410256428</v>
      </c>
      <c r="DX41" s="444">
        <f t="shared" si="45"/>
        <v>42.876320512820548</v>
      </c>
      <c r="DY41" s="444">
        <f t="shared" si="45"/>
        <v>43.458684615384598</v>
      </c>
      <c r="DZ41" s="444">
        <f t="shared" si="45"/>
        <v>44.041048717948726</v>
      </c>
      <c r="EA41" s="444">
        <f t="shared" si="45"/>
        <v>44.623412820512847</v>
      </c>
      <c r="EB41" s="444">
        <f t="shared" si="45"/>
        <v>45.205776923076904</v>
      </c>
      <c r="EC41" s="444">
        <f>0.75*EC36</f>
        <v>42.075000000000003</v>
      </c>
      <c r="ED41" s="444">
        <f t="shared" ref="ED41:FU41" si="46">0.75*ED36</f>
        <v>43.2</v>
      </c>
      <c r="EE41" s="444">
        <f t="shared" si="46"/>
        <v>41.775000000000006</v>
      </c>
      <c r="EF41" s="444">
        <f t="shared" si="46"/>
        <v>44.962500000000006</v>
      </c>
      <c r="EG41" s="444">
        <f t="shared" si="46"/>
        <v>51.427499999999995</v>
      </c>
      <c r="EH41" s="444">
        <f t="shared" si="46"/>
        <v>59.775000000000006</v>
      </c>
      <c r="EI41" s="444">
        <f t="shared" si="46"/>
        <v>63.757500000000007</v>
      </c>
      <c r="EJ41" s="444">
        <f t="shared" si="46"/>
        <v>55.064999999999998</v>
      </c>
      <c r="EK41" s="444">
        <f t="shared" si="46"/>
        <v>51.1875</v>
      </c>
      <c r="EL41" s="444">
        <f t="shared" si="46"/>
        <v>39.9375</v>
      </c>
      <c r="EM41" s="444">
        <f t="shared" si="46"/>
        <v>49.094999999999999</v>
      </c>
      <c r="EN41" s="444">
        <f t="shared" si="46"/>
        <v>45.697499999999998</v>
      </c>
      <c r="EO41" s="444">
        <f t="shared" si="46"/>
        <v>44.775000000000006</v>
      </c>
      <c r="EP41" s="444">
        <f t="shared" si="46"/>
        <v>44.204999999999998</v>
      </c>
      <c r="EQ41" s="444">
        <f t="shared" si="46"/>
        <v>43.462500000000006</v>
      </c>
      <c r="ER41" s="444">
        <f t="shared" si="46"/>
        <v>58.86</v>
      </c>
      <c r="ES41" s="444">
        <f t="shared" si="46"/>
        <v>61.882500000000007</v>
      </c>
      <c r="ET41" s="444">
        <f t="shared" si="46"/>
        <v>62.699999999999996</v>
      </c>
      <c r="EU41" s="444">
        <f t="shared" si="46"/>
        <v>76.612500000000011</v>
      </c>
      <c r="EV41" s="444">
        <f t="shared" si="46"/>
        <v>55.935000000000002</v>
      </c>
      <c r="EW41" s="444">
        <f t="shared" si="46"/>
        <v>58.837500000000006</v>
      </c>
      <c r="EX41" s="444">
        <f t="shared" si="46"/>
        <v>57.652500000000003</v>
      </c>
      <c r="EY41" s="444">
        <f t="shared" si="46"/>
        <v>61.792500000000004</v>
      </c>
      <c r="EZ41" s="444">
        <f t="shared" si="46"/>
        <v>58.41</v>
      </c>
      <c r="FA41" s="444">
        <f t="shared" si="46"/>
        <v>56.542500000000004</v>
      </c>
      <c r="FB41" s="444">
        <f t="shared" si="46"/>
        <v>50.137499999999996</v>
      </c>
      <c r="FC41" s="444">
        <f t="shared" si="46"/>
        <v>48.435000000000002</v>
      </c>
      <c r="FD41" s="444">
        <f t="shared" si="46"/>
        <v>63.727499999999999</v>
      </c>
      <c r="FE41" s="444">
        <f t="shared" si="46"/>
        <v>58.552499999999995</v>
      </c>
      <c r="FF41" s="444">
        <f t="shared" si="46"/>
        <v>53.377499999999998</v>
      </c>
      <c r="FG41" s="444">
        <f t="shared" si="46"/>
        <v>51.172499999999999</v>
      </c>
      <c r="FH41" s="444">
        <f t="shared" si="46"/>
        <v>51.900000000000006</v>
      </c>
      <c r="FI41" s="444">
        <f t="shared" si="46"/>
        <v>53.37</v>
      </c>
      <c r="FJ41" s="444">
        <f t="shared" si="46"/>
        <v>62.175000000000004</v>
      </c>
      <c r="FK41" s="444">
        <f t="shared" si="46"/>
        <v>66.66</v>
      </c>
      <c r="FL41" s="444">
        <f t="shared" si="46"/>
        <v>60.105000000000004</v>
      </c>
      <c r="FM41" s="444">
        <f t="shared" si="46"/>
        <v>67.072500000000005</v>
      </c>
      <c r="FN41" s="444">
        <f t="shared" si="46"/>
        <v>77.085000000000008</v>
      </c>
      <c r="FO41" s="444">
        <f t="shared" si="46"/>
        <v>76.6875</v>
      </c>
      <c r="FP41" s="444">
        <f t="shared" si="46"/>
        <v>75.239999999999995</v>
      </c>
      <c r="FQ41" s="444">
        <f t="shared" si="46"/>
        <v>61.005000000000003</v>
      </c>
      <c r="FR41" s="444">
        <f t="shared" si="46"/>
        <v>68.002499999999998</v>
      </c>
      <c r="FS41" s="444">
        <f t="shared" si="46"/>
        <v>68.894999999999996</v>
      </c>
      <c r="FT41" s="444">
        <f t="shared" si="46"/>
        <v>71.992499999999993</v>
      </c>
      <c r="FU41" s="444">
        <f t="shared" si="46"/>
        <v>71.212500000000006</v>
      </c>
      <c r="FV41" s="445">
        <f t="shared" si="28"/>
        <v>57.476166666666664</v>
      </c>
      <c r="FW41" s="312"/>
    </row>
    <row r="42" spans="1:179">
      <c r="A42" s="1057" t="s">
        <v>328</v>
      </c>
      <c r="B42" s="286" t="s">
        <v>307</v>
      </c>
      <c r="C42" s="356" t="s">
        <v>326</v>
      </c>
      <c r="D42" s="356"/>
      <c r="E42" s="158">
        <v>58.016529232000003</v>
      </c>
      <c r="F42" s="446" t="s">
        <v>329</v>
      </c>
      <c r="G42" s="447">
        <f t="shared" ref="G42:AS42" si="47">$E$42*G16</f>
        <v>6515410.0640951805</v>
      </c>
      <c r="H42" s="447">
        <f t="shared" si="47"/>
        <v>6515410.0640951805</v>
      </c>
      <c r="I42" s="447">
        <f t="shared" si="47"/>
        <v>6515410.0640951805</v>
      </c>
      <c r="J42" s="447">
        <f t="shared" si="47"/>
        <v>6515410.0640951805</v>
      </c>
      <c r="K42" s="447">
        <f t="shared" si="47"/>
        <v>6515410.0640951805</v>
      </c>
      <c r="L42" s="447">
        <f t="shared" si="47"/>
        <v>6515410.0640951805</v>
      </c>
      <c r="M42" s="447">
        <f t="shared" si="47"/>
        <v>6515410.0640951805</v>
      </c>
      <c r="N42" s="447">
        <f t="shared" si="47"/>
        <v>6515410.0640951805</v>
      </c>
      <c r="O42" s="447">
        <f t="shared" si="47"/>
        <v>6515410.0640951805</v>
      </c>
      <c r="P42" s="447">
        <f t="shared" si="47"/>
        <v>6515410.0640951805</v>
      </c>
      <c r="Q42" s="447">
        <f t="shared" si="47"/>
        <v>6515410.0640951805</v>
      </c>
      <c r="R42" s="447">
        <f t="shared" si="47"/>
        <v>6515410.0640951805</v>
      </c>
      <c r="S42" s="447">
        <f t="shared" si="47"/>
        <v>6515410.0640951805</v>
      </c>
      <c r="T42" s="447">
        <f t="shared" si="47"/>
        <v>6515410.0640951805</v>
      </c>
      <c r="U42" s="447">
        <f t="shared" si="47"/>
        <v>6515410.0640951805</v>
      </c>
      <c r="V42" s="447">
        <f t="shared" si="47"/>
        <v>6515410.0640951805</v>
      </c>
      <c r="W42" s="447">
        <f t="shared" si="47"/>
        <v>6515410.0640951805</v>
      </c>
      <c r="X42" s="447">
        <f t="shared" si="47"/>
        <v>6515410.0640951805</v>
      </c>
      <c r="Y42" s="447">
        <f t="shared" si="47"/>
        <v>6515410.0640951805</v>
      </c>
      <c r="Z42" s="447">
        <f t="shared" si="47"/>
        <v>6515410.0640951805</v>
      </c>
      <c r="AA42" s="447">
        <f t="shared" si="47"/>
        <v>6515410.0640951805</v>
      </c>
      <c r="AB42" s="447">
        <f t="shared" si="47"/>
        <v>6515410.0640951805</v>
      </c>
      <c r="AC42" s="447">
        <f t="shared" si="47"/>
        <v>6515410.0640951805</v>
      </c>
      <c r="AD42" s="447">
        <f t="shared" si="47"/>
        <v>6515410.0640951805</v>
      </c>
      <c r="AE42" s="447">
        <f t="shared" si="47"/>
        <v>6515410.0640951805</v>
      </c>
      <c r="AF42" s="447">
        <f t="shared" si="47"/>
        <v>6515410.0640951805</v>
      </c>
      <c r="AG42" s="447">
        <f t="shared" si="47"/>
        <v>6515410.0640951805</v>
      </c>
      <c r="AH42" s="447">
        <f t="shared" si="47"/>
        <v>6515410.0640951805</v>
      </c>
      <c r="AI42" s="447">
        <f t="shared" si="47"/>
        <v>6515410.0640951805</v>
      </c>
      <c r="AJ42" s="447">
        <f t="shared" si="47"/>
        <v>6515410.0640951805</v>
      </c>
      <c r="AK42" s="447">
        <f t="shared" si="47"/>
        <v>6515410.0640951805</v>
      </c>
      <c r="AL42" s="447">
        <f t="shared" si="47"/>
        <v>6515410.0640951805</v>
      </c>
      <c r="AM42" s="447">
        <f t="shared" si="47"/>
        <v>6515410.0640951805</v>
      </c>
      <c r="AN42" s="447">
        <f t="shared" si="47"/>
        <v>6515410.0640951805</v>
      </c>
      <c r="AO42" s="447">
        <f t="shared" si="47"/>
        <v>6515410.0640951805</v>
      </c>
      <c r="AP42" s="447">
        <f t="shared" si="47"/>
        <v>6515410.0640951805</v>
      </c>
      <c r="AQ42" s="447">
        <f t="shared" si="47"/>
        <v>6515410.0640951805</v>
      </c>
      <c r="AR42" s="447">
        <f t="shared" si="47"/>
        <v>6515410.0640951805</v>
      </c>
      <c r="AS42" s="447">
        <f t="shared" si="47"/>
        <v>6515410.0640951805</v>
      </c>
      <c r="AT42" s="447">
        <f>$E$42*AT16</f>
        <v>6515410.0640951805</v>
      </c>
      <c r="AU42" s="448">
        <f t="shared" ref="AU42:CL42" si="48">$E$42*AU16</f>
        <v>6515410.0640951805</v>
      </c>
      <c r="AV42" s="448">
        <f t="shared" si="48"/>
        <v>6515410.0640951805</v>
      </c>
      <c r="AW42" s="448">
        <f t="shared" si="48"/>
        <v>6515410.0640951805</v>
      </c>
      <c r="AX42" s="448">
        <f t="shared" si="48"/>
        <v>6515410.0640951805</v>
      </c>
      <c r="AY42" s="448">
        <f t="shared" si="48"/>
        <v>6515410.0640951805</v>
      </c>
      <c r="AZ42" s="448">
        <f t="shared" si="48"/>
        <v>6515410.0640951805</v>
      </c>
      <c r="BA42" s="448">
        <f t="shared" si="48"/>
        <v>6515410.0640951805</v>
      </c>
      <c r="BB42" s="448">
        <f t="shared" si="48"/>
        <v>6515410.0640951805</v>
      </c>
      <c r="BC42" s="448">
        <f t="shared" si="48"/>
        <v>6515410.0640951805</v>
      </c>
      <c r="BD42" s="448">
        <f t="shared" si="48"/>
        <v>6515410.0640951805</v>
      </c>
      <c r="BE42" s="448">
        <f t="shared" si="48"/>
        <v>6515410.0640951805</v>
      </c>
      <c r="BF42" s="448">
        <f t="shared" si="48"/>
        <v>6515410.0640951805</v>
      </c>
      <c r="BG42" s="448">
        <f t="shared" si="48"/>
        <v>6515410.0640951805</v>
      </c>
      <c r="BH42" s="448">
        <f t="shared" si="48"/>
        <v>6515410.0640951805</v>
      </c>
      <c r="BI42" s="448">
        <f t="shared" si="48"/>
        <v>6515410.0640951805</v>
      </c>
      <c r="BJ42" s="448">
        <f t="shared" si="48"/>
        <v>6515410.0640951805</v>
      </c>
      <c r="BK42" s="448">
        <f t="shared" si="48"/>
        <v>6515410.0640951805</v>
      </c>
      <c r="BL42" s="448">
        <f t="shared" si="48"/>
        <v>6515410.0640951805</v>
      </c>
      <c r="BM42" s="448">
        <f t="shared" si="48"/>
        <v>6515410.0640951805</v>
      </c>
      <c r="BN42" s="448">
        <f t="shared" si="48"/>
        <v>6515410.0640951805</v>
      </c>
      <c r="BO42" s="448">
        <f t="shared" si="48"/>
        <v>6515410.0640951805</v>
      </c>
      <c r="BP42" s="448">
        <f t="shared" si="48"/>
        <v>6515410.0640951805</v>
      </c>
      <c r="BQ42" s="448">
        <f t="shared" si="48"/>
        <v>6515410.0640951805</v>
      </c>
      <c r="BR42" s="448">
        <f t="shared" si="48"/>
        <v>6515410.0640951805</v>
      </c>
      <c r="BS42" s="448">
        <f t="shared" si="48"/>
        <v>6515410.0640951805</v>
      </c>
      <c r="BT42" s="448">
        <f t="shared" si="48"/>
        <v>6515410.0640951805</v>
      </c>
      <c r="BU42" s="448">
        <f t="shared" si="48"/>
        <v>6515410.0640951805</v>
      </c>
      <c r="BV42" s="448">
        <f t="shared" si="48"/>
        <v>6515410.0640951805</v>
      </c>
      <c r="BW42" s="448">
        <f t="shared" si="48"/>
        <v>6515410.0640951805</v>
      </c>
      <c r="BX42" s="448">
        <f t="shared" si="48"/>
        <v>6515410.0640951805</v>
      </c>
      <c r="BY42" s="448">
        <f t="shared" si="48"/>
        <v>6515410.0640951805</v>
      </c>
      <c r="BZ42" s="448">
        <f t="shared" si="48"/>
        <v>6515410.0640951805</v>
      </c>
      <c r="CA42" s="448">
        <f t="shared" si="48"/>
        <v>6515410.0640951805</v>
      </c>
      <c r="CB42" s="448">
        <f t="shared" si="48"/>
        <v>6515410.0640951805</v>
      </c>
      <c r="CC42" s="448">
        <f t="shared" si="48"/>
        <v>6515410.0640951805</v>
      </c>
      <c r="CD42" s="448">
        <f t="shared" si="48"/>
        <v>6515410.0640951805</v>
      </c>
      <c r="CE42" s="448">
        <f t="shared" si="48"/>
        <v>6515410.0640951805</v>
      </c>
      <c r="CF42" s="448">
        <f t="shared" si="48"/>
        <v>6515410.0640951805</v>
      </c>
      <c r="CG42" s="448">
        <f t="shared" si="48"/>
        <v>6515410.0640951805</v>
      </c>
      <c r="CH42" s="448">
        <f t="shared" si="48"/>
        <v>6515410.0640951805</v>
      </c>
      <c r="CI42" s="448">
        <f t="shared" si="48"/>
        <v>6515410.0640951805</v>
      </c>
      <c r="CJ42" s="448">
        <f t="shared" si="48"/>
        <v>6515410.0640951805</v>
      </c>
      <c r="CK42" s="448">
        <f t="shared" si="48"/>
        <v>6515410.0640951805</v>
      </c>
      <c r="CL42" s="448">
        <f t="shared" si="48"/>
        <v>6515410.0640951805</v>
      </c>
      <c r="CM42" s="319">
        <f t="shared" si="24"/>
        <v>6515410.0640951861</v>
      </c>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c r="EA42" s="58"/>
      <c r="EB42" s="58"/>
      <c r="EC42" s="58"/>
      <c r="ED42" s="58"/>
      <c r="EE42" s="58"/>
      <c r="EF42" s="58"/>
      <c r="EG42" s="58"/>
      <c r="EH42" s="58"/>
      <c r="EI42" s="58"/>
      <c r="EJ42" s="58"/>
      <c r="EK42" s="58"/>
      <c r="EL42" s="58"/>
      <c r="EM42" s="58"/>
      <c r="EN42" s="58"/>
      <c r="EO42" s="58"/>
      <c r="EP42" s="58"/>
      <c r="EQ42" s="58"/>
      <c r="ER42" s="58"/>
      <c r="ES42" s="58"/>
      <c r="ET42" s="58"/>
      <c r="EU42" s="58"/>
      <c r="EV42" s="58"/>
      <c r="EW42" s="58"/>
      <c r="EX42" s="58"/>
      <c r="EY42" s="58"/>
      <c r="EZ42" s="58"/>
      <c r="FA42" s="58"/>
      <c r="FB42" s="58"/>
      <c r="FC42" s="58"/>
      <c r="FD42" s="58"/>
      <c r="FE42" s="58"/>
      <c r="FF42" s="58"/>
      <c r="FG42" s="58"/>
      <c r="FH42" s="58"/>
      <c r="FI42" s="58"/>
      <c r="FJ42" s="58"/>
      <c r="FK42" s="58"/>
      <c r="FL42" s="58"/>
      <c r="FM42" s="58"/>
      <c r="FN42" s="58"/>
      <c r="FO42" s="58"/>
      <c r="FP42" s="58"/>
      <c r="FQ42" s="58"/>
      <c r="FR42" s="58"/>
      <c r="FS42" s="58"/>
      <c r="FT42" s="58"/>
      <c r="FU42" s="58"/>
      <c r="FV42" s="58"/>
      <c r="FW42" s="313"/>
    </row>
    <row r="43" spans="1:179">
      <c r="A43" s="1058"/>
      <c r="B43" s="224" t="s">
        <v>307</v>
      </c>
      <c r="C43" s="367" t="s">
        <v>326</v>
      </c>
      <c r="D43" s="362"/>
      <c r="E43" s="75">
        <v>113.95</v>
      </c>
      <c r="F43" s="413" t="s">
        <v>330</v>
      </c>
      <c r="G43" s="449">
        <f t="shared" ref="G43:AS43" si="49">$E$43*G16</f>
        <v>12796887.139435178</v>
      </c>
      <c r="H43" s="449">
        <f t="shared" si="49"/>
        <v>12796887.139435178</v>
      </c>
      <c r="I43" s="449">
        <f t="shared" si="49"/>
        <v>12796887.139435178</v>
      </c>
      <c r="J43" s="449">
        <f t="shared" si="49"/>
        <v>12796887.139435178</v>
      </c>
      <c r="K43" s="449">
        <f t="shared" si="49"/>
        <v>12796887.139435178</v>
      </c>
      <c r="L43" s="449">
        <f t="shared" si="49"/>
        <v>12796887.139435178</v>
      </c>
      <c r="M43" s="449">
        <f t="shared" si="49"/>
        <v>12796887.139435178</v>
      </c>
      <c r="N43" s="449">
        <f t="shared" si="49"/>
        <v>12796887.139435178</v>
      </c>
      <c r="O43" s="449">
        <f t="shared" si="49"/>
        <v>12796887.139435178</v>
      </c>
      <c r="P43" s="449">
        <f t="shared" si="49"/>
        <v>12796887.139435178</v>
      </c>
      <c r="Q43" s="449">
        <f t="shared" si="49"/>
        <v>12796887.139435178</v>
      </c>
      <c r="R43" s="449">
        <f t="shared" si="49"/>
        <v>12796887.139435178</v>
      </c>
      <c r="S43" s="449">
        <f t="shared" si="49"/>
        <v>12796887.139435178</v>
      </c>
      <c r="T43" s="449">
        <f t="shared" si="49"/>
        <v>12796887.139435178</v>
      </c>
      <c r="U43" s="449">
        <f t="shared" si="49"/>
        <v>12796887.139435178</v>
      </c>
      <c r="V43" s="449">
        <f t="shared" si="49"/>
        <v>12796887.139435178</v>
      </c>
      <c r="W43" s="449">
        <f t="shared" si="49"/>
        <v>12796887.139435178</v>
      </c>
      <c r="X43" s="449">
        <f t="shared" si="49"/>
        <v>12796887.139435178</v>
      </c>
      <c r="Y43" s="449">
        <f t="shared" si="49"/>
        <v>12796887.139435178</v>
      </c>
      <c r="Z43" s="449">
        <f t="shared" si="49"/>
        <v>12796887.139435178</v>
      </c>
      <c r="AA43" s="449">
        <f t="shared" si="49"/>
        <v>12796887.139435178</v>
      </c>
      <c r="AB43" s="449">
        <f t="shared" si="49"/>
        <v>12796887.139435178</v>
      </c>
      <c r="AC43" s="449">
        <f t="shared" si="49"/>
        <v>12796887.139435178</v>
      </c>
      <c r="AD43" s="449">
        <f t="shared" si="49"/>
        <v>12796887.139435178</v>
      </c>
      <c r="AE43" s="449">
        <f t="shared" si="49"/>
        <v>12796887.139435178</v>
      </c>
      <c r="AF43" s="449">
        <f t="shared" si="49"/>
        <v>12796887.139435178</v>
      </c>
      <c r="AG43" s="449">
        <f t="shared" si="49"/>
        <v>12796887.139435178</v>
      </c>
      <c r="AH43" s="449">
        <f t="shared" si="49"/>
        <v>12796887.139435178</v>
      </c>
      <c r="AI43" s="449">
        <f t="shared" si="49"/>
        <v>12796887.139435178</v>
      </c>
      <c r="AJ43" s="449">
        <f t="shared" si="49"/>
        <v>12796887.139435178</v>
      </c>
      <c r="AK43" s="449">
        <f t="shared" si="49"/>
        <v>12796887.139435178</v>
      </c>
      <c r="AL43" s="449">
        <f t="shared" si="49"/>
        <v>12796887.139435178</v>
      </c>
      <c r="AM43" s="449">
        <f t="shared" si="49"/>
        <v>12796887.139435178</v>
      </c>
      <c r="AN43" s="449">
        <f t="shared" si="49"/>
        <v>12796887.139435178</v>
      </c>
      <c r="AO43" s="449">
        <f t="shared" si="49"/>
        <v>12796887.139435178</v>
      </c>
      <c r="AP43" s="449">
        <f t="shared" si="49"/>
        <v>12796887.139435178</v>
      </c>
      <c r="AQ43" s="449">
        <f t="shared" si="49"/>
        <v>12796887.139435178</v>
      </c>
      <c r="AR43" s="449">
        <f t="shared" si="49"/>
        <v>12796887.139435178</v>
      </c>
      <c r="AS43" s="449">
        <f t="shared" si="49"/>
        <v>12796887.139435178</v>
      </c>
      <c r="AT43" s="449">
        <f>$E$43*AT16</f>
        <v>12796887.139435178</v>
      </c>
      <c r="AU43" s="450">
        <f t="shared" ref="AU43:CL43" si="50">$E$43*AU16</f>
        <v>12796887.139435178</v>
      </c>
      <c r="AV43" s="450">
        <f t="shared" si="50"/>
        <v>12796887.139435178</v>
      </c>
      <c r="AW43" s="450">
        <f t="shared" si="50"/>
        <v>12796887.139435178</v>
      </c>
      <c r="AX43" s="450">
        <f t="shared" si="50"/>
        <v>12796887.139435178</v>
      </c>
      <c r="AY43" s="450">
        <f t="shared" si="50"/>
        <v>12796887.139435178</v>
      </c>
      <c r="AZ43" s="450">
        <f t="shared" si="50"/>
        <v>12796887.139435178</v>
      </c>
      <c r="BA43" s="450">
        <f t="shared" si="50"/>
        <v>12796887.139435178</v>
      </c>
      <c r="BB43" s="450">
        <f t="shared" si="50"/>
        <v>12796887.139435178</v>
      </c>
      <c r="BC43" s="450">
        <f t="shared" si="50"/>
        <v>12796887.139435178</v>
      </c>
      <c r="BD43" s="450">
        <f t="shared" si="50"/>
        <v>12796887.139435178</v>
      </c>
      <c r="BE43" s="450">
        <f t="shared" si="50"/>
        <v>12796887.139435178</v>
      </c>
      <c r="BF43" s="450">
        <f t="shared" si="50"/>
        <v>12796887.139435178</v>
      </c>
      <c r="BG43" s="450">
        <f t="shared" si="50"/>
        <v>12796887.139435178</v>
      </c>
      <c r="BH43" s="450">
        <f t="shared" si="50"/>
        <v>12796887.139435178</v>
      </c>
      <c r="BI43" s="450">
        <f t="shared" si="50"/>
        <v>12796887.139435178</v>
      </c>
      <c r="BJ43" s="450">
        <f t="shared" si="50"/>
        <v>12796887.139435178</v>
      </c>
      <c r="BK43" s="450">
        <f t="shared" si="50"/>
        <v>12796887.139435178</v>
      </c>
      <c r="BL43" s="450">
        <f t="shared" si="50"/>
        <v>12796887.139435178</v>
      </c>
      <c r="BM43" s="450">
        <f t="shared" si="50"/>
        <v>12796887.139435178</v>
      </c>
      <c r="BN43" s="450">
        <f t="shared" si="50"/>
        <v>12796887.139435178</v>
      </c>
      <c r="BO43" s="450">
        <f t="shared" si="50"/>
        <v>12796887.139435178</v>
      </c>
      <c r="BP43" s="450">
        <f t="shared" si="50"/>
        <v>12796887.139435178</v>
      </c>
      <c r="BQ43" s="450">
        <f t="shared" si="50"/>
        <v>12796887.139435178</v>
      </c>
      <c r="BR43" s="450">
        <f t="shared" si="50"/>
        <v>12796887.139435178</v>
      </c>
      <c r="BS43" s="450">
        <f t="shared" si="50"/>
        <v>12796887.139435178</v>
      </c>
      <c r="BT43" s="450">
        <f t="shared" si="50"/>
        <v>12796887.139435178</v>
      </c>
      <c r="BU43" s="450">
        <f t="shared" si="50"/>
        <v>12796887.139435178</v>
      </c>
      <c r="BV43" s="450">
        <f t="shared" si="50"/>
        <v>12796887.139435178</v>
      </c>
      <c r="BW43" s="450">
        <f t="shared" si="50"/>
        <v>12796887.139435178</v>
      </c>
      <c r="BX43" s="450">
        <f t="shared" si="50"/>
        <v>12796887.139435178</v>
      </c>
      <c r="BY43" s="450">
        <f t="shared" si="50"/>
        <v>12796887.139435178</v>
      </c>
      <c r="BZ43" s="450">
        <f t="shared" si="50"/>
        <v>12796887.139435178</v>
      </c>
      <c r="CA43" s="450">
        <f t="shared" si="50"/>
        <v>12796887.139435178</v>
      </c>
      <c r="CB43" s="450">
        <f t="shared" si="50"/>
        <v>12796887.139435178</v>
      </c>
      <c r="CC43" s="450">
        <f t="shared" si="50"/>
        <v>12796887.139435178</v>
      </c>
      <c r="CD43" s="450">
        <f t="shared" si="50"/>
        <v>12796887.139435178</v>
      </c>
      <c r="CE43" s="450">
        <f t="shared" si="50"/>
        <v>12796887.139435178</v>
      </c>
      <c r="CF43" s="450">
        <f t="shared" si="50"/>
        <v>12796887.139435178</v>
      </c>
      <c r="CG43" s="450">
        <f t="shared" si="50"/>
        <v>12796887.139435178</v>
      </c>
      <c r="CH43" s="450">
        <f t="shared" si="50"/>
        <v>12796887.139435178</v>
      </c>
      <c r="CI43" s="450">
        <f t="shared" si="50"/>
        <v>12796887.139435178</v>
      </c>
      <c r="CJ43" s="450">
        <f t="shared" si="50"/>
        <v>12796887.139435178</v>
      </c>
      <c r="CK43" s="450">
        <f t="shared" si="50"/>
        <v>12796887.139435178</v>
      </c>
      <c r="CL43" s="450">
        <f t="shared" si="50"/>
        <v>12796887.139435178</v>
      </c>
      <c r="CM43" s="319">
        <f t="shared" si="24"/>
        <v>12796887.139435176</v>
      </c>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c r="EA43" s="58"/>
      <c r="EB43" s="58"/>
      <c r="EC43" s="58"/>
      <c r="ED43" s="58"/>
      <c r="EE43" s="58"/>
      <c r="EF43" s="58"/>
      <c r="EG43" s="58"/>
      <c r="EH43" s="58"/>
      <c r="EI43" s="58"/>
      <c r="EJ43" s="58"/>
      <c r="EK43" s="58"/>
      <c r="EL43" s="58"/>
      <c r="EM43" s="58"/>
      <c r="EN43" s="58"/>
      <c r="EO43" s="58"/>
      <c r="EP43" s="58"/>
      <c r="EQ43" s="58"/>
      <c r="ER43" s="58"/>
      <c r="ES43" s="58"/>
      <c r="ET43" s="58"/>
      <c r="EU43" s="58"/>
      <c r="EV43" s="58"/>
      <c r="EW43" s="58"/>
      <c r="EX43" s="58"/>
      <c r="EY43" s="58"/>
      <c r="EZ43" s="58"/>
      <c r="FA43" s="58"/>
      <c r="FB43" s="58"/>
      <c r="FC43" s="58"/>
      <c r="FD43" s="58"/>
      <c r="FE43" s="58"/>
      <c r="FF43" s="58"/>
      <c r="FG43" s="58"/>
      <c r="FH43" s="58"/>
      <c r="FI43" s="58"/>
      <c r="FJ43" s="58"/>
      <c r="FK43" s="58"/>
      <c r="FL43" s="58"/>
      <c r="FM43" s="58"/>
      <c r="FN43" s="58"/>
      <c r="FO43" s="58"/>
      <c r="FP43" s="58"/>
      <c r="FQ43" s="58"/>
      <c r="FR43" s="58"/>
      <c r="FS43" s="58"/>
      <c r="FT43" s="58"/>
      <c r="FU43" s="58"/>
      <c r="FV43" s="58"/>
    </row>
    <row r="44" spans="1:179" ht="17.25" customHeight="1">
      <c r="A44" s="451" t="s">
        <v>31</v>
      </c>
      <c r="B44" s="452" t="s">
        <v>307</v>
      </c>
      <c r="C44" s="451" t="s">
        <v>326</v>
      </c>
      <c r="D44" s="451"/>
      <c r="E44" s="453">
        <v>7924</v>
      </c>
      <c r="F44" s="454" t="s">
        <v>331</v>
      </c>
      <c r="G44" s="455">
        <f>$E$44*G16</f>
        <v>889886210.556247</v>
      </c>
      <c r="H44" s="455">
        <f t="shared" ref="H44:BS44" si="51">$E$44*H16</f>
        <v>889886210.556247</v>
      </c>
      <c r="I44" s="455">
        <f t="shared" si="51"/>
        <v>889886210.556247</v>
      </c>
      <c r="J44" s="455">
        <f t="shared" si="51"/>
        <v>889886210.556247</v>
      </c>
      <c r="K44" s="455">
        <f t="shared" si="51"/>
        <v>889886210.556247</v>
      </c>
      <c r="L44" s="455">
        <f t="shared" si="51"/>
        <v>889886210.556247</v>
      </c>
      <c r="M44" s="455">
        <f t="shared" si="51"/>
        <v>889886210.556247</v>
      </c>
      <c r="N44" s="455">
        <f t="shared" si="51"/>
        <v>889886210.556247</v>
      </c>
      <c r="O44" s="455">
        <f t="shared" si="51"/>
        <v>889886210.556247</v>
      </c>
      <c r="P44" s="455">
        <f t="shared" si="51"/>
        <v>889886210.556247</v>
      </c>
      <c r="Q44" s="455">
        <f t="shared" si="51"/>
        <v>889886210.556247</v>
      </c>
      <c r="R44" s="455">
        <f t="shared" si="51"/>
        <v>889886210.556247</v>
      </c>
      <c r="S44" s="455">
        <f t="shared" si="51"/>
        <v>889886210.556247</v>
      </c>
      <c r="T44" s="455">
        <f t="shared" si="51"/>
        <v>889886210.556247</v>
      </c>
      <c r="U44" s="455">
        <f t="shared" si="51"/>
        <v>889886210.556247</v>
      </c>
      <c r="V44" s="455">
        <f t="shared" si="51"/>
        <v>889886210.556247</v>
      </c>
      <c r="W44" s="455">
        <f t="shared" si="51"/>
        <v>889886210.556247</v>
      </c>
      <c r="X44" s="455">
        <f t="shared" si="51"/>
        <v>889886210.556247</v>
      </c>
      <c r="Y44" s="455">
        <f t="shared" si="51"/>
        <v>889886210.556247</v>
      </c>
      <c r="Z44" s="455">
        <f t="shared" si="51"/>
        <v>889886210.556247</v>
      </c>
      <c r="AA44" s="455">
        <f t="shared" si="51"/>
        <v>889886210.556247</v>
      </c>
      <c r="AB44" s="455">
        <f t="shared" si="51"/>
        <v>889886210.556247</v>
      </c>
      <c r="AC44" s="455">
        <f t="shared" si="51"/>
        <v>889886210.556247</v>
      </c>
      <c r="AD44" s="455">
        <f t="shared" si="51"/>
        <v>889886210.556247</v>
      </c>
      <c r="AE44" s="455">
        <f t="shared" si="51"/>
        <v>889886210.556247</v>
      </c>
      <c r="AF44" s="455">
        <f t="shared" si="51"/>
        <v>889886210.556247</v>
      </c>
      <c r="AG44" s="455">
        <f t="shared" si="51"/>
        <v>889886210.556247</v>
      </c>
      <c r="AH44" s="455">
        <f t="shared" si="51"/>
        <v>889886210.556247</v>
      </c>
      <c r="AI44" s="455">
        <f t="shared" si="51"/>
        <v>889886210.556247</v>
      </c>
      <c r="AJ44" s="455">
        <f t="shared" si="51"/>
        <v>889886210.556247</v>
      </c>
      <c r="AK44" s="455">
        <f t="shared" si="51"/>
        <v>889886210.556247</v>
      </c>
      <c r="AL44" s="455">
        <f t="shared" si="51"/>
        <v>889886210.556247</v>
      </c>
      <c r="AM44" s="455">
        <f t="shared" si="51"/>
        <v>889886210.556247</v>
      </c>
      <c r="AN44" s="455">
        <f t="shared" si="51"/>
        <v>889886210.556247</v>
      </c>
      <c r="AO44" s="455">
        <f t="shared" si="51"/>
        <v>889886210.556247</v>
      </c>
      <c r="AP44" s="455">
        <f t="shared" si="51"/>
        <v>889886210.556247</v>
      </c>
      <c r="AQ44" s="455">
        <f t="shared" si="51"/>
        <v>889886210.556247</v>
      </c>
      <c r="AR44" s="455">
        <f t="shared" si="51"/>
        <v>889886210.556247</v>
      </c>
      <c r="AS44" s="455">
        <f t="shared" si="51"/>
        <v>889886210.556247</v>
      </c>
      <c r="AT44" s="455">
        <f t="shared" si="51"/>
        <v>889886210.556247</v>
      </c>
      <c r="AU44" s="455">
        <f t="shared" si="51"/>
        <v>889886210.556247</v>
      </c>
      <c r="AV44" s="455">
        <f t="shared" si="51"/>
        <v>889886210.556247</v>
      </c>
      <c r="AW44" s="455">
        <f t="shared" si="51"/>
        <v>889886210.556247</v>
      </c>
      <c r="AX44" s="455">
        <f t="shared" si="51"/>
        <v>889886210.556247</v>
      </c>
      <c r="AY44" s="455">
        <f t="shared" si="51"/>
        <v>889886210.556247</v>
      </c>
      <c r="AZ44" s="455">
        <f t="shared" si="51"/>
        <v>889886210.556247</v>
      </c>
      <c r="BA44" s="455">
        <f t="shared" si="51"/>
        <v>889886210.556247</v>
      </c>
      <c r="BB44" s="455">
        <f t="shared" si="51"/>
        <v>889886210.556247</v>
      </c>
      <c r="BC44" s="455">
        <f t="shared" si="51"/>
        <v>889886210.556247</v>
      </c>
      <c r="BD44" s="455">
        <f t="shared" si="51"/>
        <v>889886210.556247</v>
      </c>
      <c r="BE44" s="455">
        <f t="shared" si="51"/>
        <v>889886210.556247</v>
      </c>
      <c r="BF44" s="455">
        <f t="shared" si="51"/>
        <v>889886210.556247</v>
      </c>
      <c r="BG44" s="455">
        <f t="shared" si="51"/>
        <v>889886210.556247</v>
      </c>
      <c r="BH44" s="455">
        <f t="shared" si="51"/>
        <v>889886210.556247</v>
      </c>
      <c r="BI44" s="455">
        <f t="shared" si="51"/>
        <v>889886210.556247</v>
      </c>
      <c r="BJ44" s="455">
        <f t="shared" si="51"/>
        <v>889886210.556247</v>
      </c>
      <c r="BK44" s="455">
        <f t="shared" si="51"/>
        <v>889886210.556247</v>
      </c>
      <c r="BL44" s="455">
        <f t="shared" si="51"/>
        <v>889886210.556247</v>
      </c>
      <c r="BM44" s="455">
        <f t="shared" si="51"/>
        <v>889886210.556247</v>
      </c>
      <c r="BN44" s="455">
        <f t="shared" si="51"/>
        <v>889886210.556247</v>
      </c>
      <c r="BO44" s="455">
        <f t="shared" si="51"/>
        <v>889886210.556247</v>
      </c>
      <c r="BP44" s="455">
        <f t="shared" si="51"/>
        <v>889886210.556247</v>
      </c>
      <c r="BQ44" s="455">
        <f t="shared" si="51"/>
        <v>889886210.556247</v>
      </c>
      <c r="BR44" s="455">
        <f t="shared" si="51"/>
        <v>889886210.556247</v>
      </c>
      <c r="BS44" s="455">
        <f t="shared" si="51"/>
        <v>889886210.556247</v>
      </c>
      <c r="BT44" s="455">
        <f t="shared" ref="BT44:CM44" si="52">$E$44*BT16</f>
        <v>889886210.556247</v>
      </c>
      <c r="BU44" s="455">
        <f t="shared" si="52"/>
        <v>889886210.556247</v>
      </c>
      <c r="BV44" s="455">
        <f t="shared" si="52"/>
        <v>889886210.556247</v>
      </c>
      <c r="BW44" s="455">
        <f t="shared" si="52"/>
        <v>889886210.556247</v>
      </c>
      <c r="BX44" s="455">
        <f t="shared" si="52"/>
        <v>889886210.556247</v>
      </c>
      <c r="BY44" s="455">
        <f t="shared" si="52"/>
        <v>889886210.556247</v>
      </c>
      <c r="BZ44" s="455">
        <f t="shared" si="52"/>
        <v>889886210.556247</v>
      </c>
      <c r="CA44" s="455">
        <f t="shared" si="52"/>
        <v>889886210.556247</v>
      </c>
      <c r="CB44" s="455">
        <f t="shared" si="52"/>
        <v>889886210.556247</v>
      </c>
      <c r="CC44" s="455">
        <f t="shared" si="52"/>
        <v>889886210.556247</v>
      </c>
      <c r="CD44" s="455">
        <f t="shared" si="52"/>
        <v>889886210.556247</v>
      </c>
      <c r="CE44" s="455">
        <f t="shared" si="52"/>
        <v>889886210.556247</v>
      </c>
      <c r="CF44" s="455">
        <f t="shared" si="52"/>
        <v>889886210.556247</v>
      </c>
      <c r="CG44" s="455">
        <f t="shared" si="52"/>
        <v>889886210.556247</v>
      </c>
      <c r="CH44" s="455">
        <f t="shared" si="52"/>
        <v>889886210.556247</v>
      </c>
      <c r="CI44" s="455">
        <f t="shared" si="52"/>
        <v>889886210.556247</v>
      </c>
      <c r="CJ44" s="455">
        <f t="shared" si="52"/>
        <v>889886210.556247</v>
      </c>
      <c r="CK44" s="455">
        <f t="shared" si="52"/>
        <v>889886210.556247</v>
      </c>
      <c r="CL44" s="455">
        <f t="shared" si="52"/>
        <v>889886210.556247</v>
      </c>
      <c r="CM44" s="455">
        <f t="shared" si="52"/>
        <v>889886210.556247</v>
      </c>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c r="EA44" s="58"/>
      <c r="EB44" s="58"/>
      <c r="EC44" s="58"/>
      <c r="ED44" s="58"/>
      <c r="EE44" s="58"/>
      <c r="EF44" s="58"/>
      <c r="EG44" s="58"/>
      <c r="EH44" s="58"/>
      <c r="EI44" s="58"/>
      <c r="EJ44" s="58"/>
      <c r="EK44" s="58"/>
      <c r="EL44" s="58"/>
      <c r="EM44" s="58"/>
      <c r="EN44" s="58"/>
      <c r="EO44" s="58"/>
      <c r="EP44" s="58"/>
      <c r="EQ44" s="58"/>
      <c r="ER44" s="58"/>
      <c r="ES44" s="58"/>
      <c r="ET44" s="58"/>
      <c r="EU44" s="58"/>
      <c r="EV44" s="58"/>
      <c r="EW44" s="58"/>
      <c r="EX44" s="58"/>
      <c r="EY44" s="58"/>
      <c r="EZ44" s="58"/>
      <c r="FA44" s="58"/>
      <c r="FB44" s="58"/>
      <c r="FC44" s="58"/>
      <c r="FD44" s="58"/>
      <c r="FE44" s="58"/>
      <c r="FF44" s="58"/>
      <c r="FG44" s="58"/>
      <c r="FH44" s="58"/>
      <c r="FI44" s="58"/>
      <c r="FJ44" s="58"/>
      <c r="FK44" s="58"/>
      <c r="FL44" s="58"/>
      <c r="FM44" s="58"/>
      <c r="FN44" s="58"/>
      <c r="FO44" s="58"/>
      <c r="FP44" s="58"/>
      <c r="FQ44" s="58"/>
      <c r="FR44" s="58"/>
      <c r="FS44" s="58"/>
      <c r="FT44" s="58"/>
      <c r="FU44" s="58"/>
      <c r="FV44" s="58"/>
    </row>
    <row r="45" spans="1:179" s="314" customFormat="1" ht="20.25" customHeight="1">
      <c r="A45" s="457" t="s">
        <v>240</v>
      </c>
      <c r="B45" s="53" t="s">
        <v>307</v>
      </c>
      <c r="C45" s="457" t="s">
        <v>326</v>
      </c>
      <c r="D45" s="457"/>
      <c r="E45" s="57">
        <v>3131</v>
      </c>
      <c r="F45" s="368" t="s">
        <v>329</v>
      </c>
      <c r="G45" s="455">
        <f>$E$45*G16</f>
        <v>351619601.87425661</v>
      </c>
      <c r="H45" s="455">
        <f t="shared" ref="H45:BS45" si="53">$E$45*H16</f>
        <v>351619601.87425661</v>
      </c>
      <c r="I45" s="455">
        <f t="shared" si="53"/>
        <v>351619601.87425661</v>
      </c>
      <c r="J45" s="455">
        <f t="shared" si="53"/>
        <v>351619601.87425661</v>
      </c>
      <c r="K45" s="455">
        <f t="shared" si="53"/>
        <v>351619601.87425661</v>
      </c>
      <c r="L45" s="455">
        <f t="shared" si="53"/>
        <v>351619601.87425661</v>
      </c>
      <c r="M45" s="455">
        <f t="shared" si="53"/>
        <v>351619601.87425661</v>
      </c>
      <c r="N45" s="455">
        <f t="shared" si="53"/>
        <v>351619601.87425661</v>
      </c>
      <c r="O45" s="455">
        <f t="shared" si="53"/>
        <v>351619601.87425661</v>
      </c>
      <c r="P45" s="455">
        <f t="shared" si="53"/>
        <v>351619601.87425661</v>
      </c>
      <c r="Q45" s="455">
        <f t="shared" si="53"/>
        <v>351619601.87425661</v>
      </c>
      <c r="R45" s="455">
        <f t="shared" si="53"/>
        <v>351619601.87425661</v>
      </c>
      <c r="S45" s="455">
        <f t="shared" si="53"/>
        <v>351619601.87425661</v>
      </c>
      <c r="T45" s="455">
        <f t="shared" si="53"/>
        <v>351619601.87425661</v>
      </c>
      <c r="U45" s="455">
        <f t="shared" si="53"/>
        <v>351619601.87425661</v>
      </c>
      <c r="V45" s="455">
        <f t="shared" si="53"/>
        <v>351619601.87425661</v>
      </c>
      <c r="W45" s="455">
        <f t="shared" si="53"/>
        <v>351619601.87425661</v>
      </c>
      <c r="X45" s="455">
        <f t="shared" si="53"/>
        <v>351619601.87425661</v>
      </c>
      <c r="Y45" s="455">
        <f t="shared" si="53"/>
        <v>351619601.87425661</v>
      </c>
      <c r="Z45" s="455">
        <f t="shared" si="53"/>
        <v>351619601.87425661</v>
      </c>
      <c r="AA45" s="455">
        <f t="shared" si="53"/>
        <v>351619601.87425661</v>
      </c>
      <c r="AB45" s="455">
        <f t="shared" si="53"/>
        <v>351619601.87425661</v>
      </c>
      <c r="AC45" s="455">
        <f t="shared" si="53"/>
        <v>351619601.87425661</v>
      </c>
      <c r="AD45" s="455">
        <f t="shared" si="53"/>
        <v>351619601.87425661</v>
      </c>
      <c r="AE45" s="455">
        <f t="shared" si="53"/>
        <v>351619601.87425661</v>
      </c>
      <c r="AF45" s="455">
        <f t="shared" si="53"/>
        <v>351619601.87425661</v>
      </c>
      <c r="AG45" s="455">
        <f t="shared" si="53"/>
        <v>351619601.87425661</v>
      </c>
      <c r="AH45" s="455">
        <f t="shared" si="53"/>
        <v>351619601.87425661</v>
      </c>
      <c r="AI45" s="455">
        <f t="shared" si="53"/>
        <v>351619601.87425661</v>
      </c>
      <c r="AJ45" s="455">
        <f t="shared" si="53"/>
        <v>351619601.87425661</v>
      </c>
      <c r="AK45" s="455">
        <f t="shared" si="53"/>
        <v>351619601.87425661</v>
      </c>
      <c r="AL45" s="455">
        <f t="shared" si="53"/>
        <v>351619601.87425661</v>
      </c>
      <c r="AM45" s="455">
        <f t="shared" si="53"/>
        <v>351619601.87425661</v>
      </c>
      <c r="AN45" s="455">
        <f t="shared" si="53"/>
        <v>351619601.87425661</v>
      </c>
      <c r="AO45" s="455">
        <f t="shared" si="53"/>
        <v>351619601.87425661</v>
      </c>
      <c r="AP45" s="455">
        <f t="shared" si="53"/>
        <v>351619601.87425661</v>
      </c>
      <c r="AQ45" s="455">
        <f t="shared" si="53"/>
        <v>351619601.87425661</v>
      </c>
      <c r="AR45" s="455">
        <f t="shared" si="53"/>
        <v>351619601.87425661</v>
      </c>
      <c r="AS45" s="455">
        <f t="shared" si="53"/>
        <v>351619601.87425661</v>
      </c>
      <c r="AT45" s="455">
        <f t="shared" si="53"/>
        <v>351619601.87425661</v>
      </c>
      <c r="AU45" s="455">
        <f t="shared" si="53"/>
        <v>351619601.87425661</v>
      </c>
      <c r="AV45" s="455">
        <f t="shared" si="53"/>
        <v>351619601.87425661</v>
      </c>
      <c r="AW45" s="455">
        <f t="shared" si="53"/>
        <v>351619601.87425661</v>
      </c>
      <c r="AX45" s="455">
        <f t="shared" si="53"/>
        <v>351619601.87425661</v>
      </c>
      <c r="AY45" s="455">
        <f t="shared" si="53"/>
        <v>351619601.87425661</v>
      </c>
      <c r="AZ45" s="455">
        <f t="shared" si="53"/>
        <v>351619601.87425661</v>
      </c>
      <c r="BA45" s="455">
        <f t="shared" si="53"/>
        <v>351619601.87425661</v>
      </c>
      <c r="BB45" s="455">
        <f t="shared" si="53"/>
        <v>351619601.87425661</v>
      </c>
      <c r="BC45" s="455">
        <f t="shared" si="53"/>
        <v>351619601.87425661</v>
      </c>
      <c r="BD45" s="455">
        <f t="shared" si="53"/>
        <v>351619601.87425661</v>
      </c>
      <c r="BE45" s="455">
        <f t="shared" si="53"/>
        <v>351619601.87425661</v>
      </c>
      <c r="BF45" s="455">
        <f t="shared" si="53"/>
        <v>351619601.87425661</v>
      </c>
      <c r="BG45" s="455">
        <f t="shared" si="53"/>
        <v>351619601.87425661</v>
      </c>
      <c r="BH45" s="455">
        <f t="shared" si="53"/>
        <v>351619601.87425661</v>
      </c>
      <c r="BI45" s="455">
        <f t="shared" si="53"/>
        <v>351619601.87425661</v>
      </c>
      <c r="BJ45" s="455">
        <f t="shared" si="53"/>
        <v>351619601.87425661</v>
      </c>
      <c r="BK45" s="455">
        <f t="shared" si="53"/>
        <v>351619601.87425661</v>
      </c>
      <c r="BL45" s="455">
        <f t="shared" si="53"/>
        <v>351619601.87425661</v>
      </c>
      <c r="BM45" s="455">
        <f t="shared" si="53"/>
        <v>351619601.87425661</v>
      </c>
      <c r="BN45" s="455">
        <f t="shared" si="53"/>
        <v>351619601.87425661</v>
      </c>
      <c r="BO45" s="455">
        <f t="shared" si="53"/>
        <v>351619601.87425661</v>
      </c>
      <c r="BP45" s="455">
        <f t="shared" si="53"/>
        <v>351619601.87425661</v>
      </c>
      <c r="BQ45" s="455">
        <f t="shared" si="53"/>
        <v>351619601.87425661</v>
      </c>
      <c r="BR45" s="455">
        <f t="shared" si="53"/>
        <v>351619601.87425661</v>
      </c>
      <c r="BS45" s="455">
        <f t="shared" si="53"/>
        <v>351619601.87425661</v>
      </c>
      <c r="BT45" s="455">
        <f t="shared" ref="BT45:CM45" si="54">$E$45*BT16</f>
        <v>351619601.87425661</v>
      </c>
      <c r="BU45" s="455">
        <f t="shared" si="54"/>
        <v>351619601.87425661</v>
      </c>
      <c r="BV45" s="455">
        <f t="shared" si="54"/>
        <v>351619601.87425661</v>
      </c>
      <c r="BW45" s="455">
        <f t="shared" si="54"/>
        <v>351619601.87425661</v>
      </c>
      <c r="BX45" s="455">
        <f t="shared" si="54"/>
        <v>351619601.87425661</v>
      </c>
      <c r="BY45" s="455">
        <f t="shared" si="54"/>
        <v>351619601.87425661</v>
      </c>
      <c r="BZ45" s="455">
        <f t="shared" si="54"/>
        <v>351619601.87425661</v>
      </c>
      <c r="CA45" s="455">
        <f t="shared" si="54"/>
        <v>351619601.87425661</v>
      </c>
      <c r="CB45" s="455">
        <f t="shared" si="54"/>
        <v>351619601.87425661</v>
      </c>
      <c r="CC45" s="455">
        <f t="shared" si="54"/>
        <v>351619601.87425661</v>
      </c>
      <c r="CD45" s="455">
        <f t="shared" si="54"/>
        <v>351619601.87425661</v>
      </c>
      <c r="CE45" s="455">
        <f t="shared" si="54"/>
        <v>351619601.87425661</v>
      </c>
      <c r="CF45" s="455">
        <f t="shared" si="54"/>
        <v>351619601.87425661</v>
      </c>
      <c r="CG45" s="455">
        <f t="shared" si="54"/>
        <v>351619601.87425661</v>
      </c>
      <c r="CH45" s="455">
        <f t="shared" si="54"/>
        <v>351619601.87425661</v>
      </c>
      <c r="CI45" s="455">
        <f t="shared" si="54"/>
        <v>351619601.87425661</v>
      </c>
      <c r="CJ45" s="455">
        <f t="shared" si="54"/>
        <v>351619601.87425661</v>
      </c>
      <c r="CK45" s="455">
        <f t="shared" si="54"/>
        <v>351619601.87425661</v>
      </c>
      <c r="CL45" s="455">
        <f t="shared" si="54"/>
        <v>351619601.87425661</v>
      </c>
      <c r="CM45" s="455">
        <f t="shared" si="54"/>
        <v>351619601.87425661</v>
      </c>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c r="ET45" s="17"/>
      <c r="EU45" s="17"/>
      <c r="EV45" s="17"/>
      <c r="EW45" s="17"/>
      <c r="EX45" s="17"/>
      <c r="EY45" s="17"/>
      <c r="EZ45" s="17"/>
      <c r="FA45" s="17"/>
      <c r="FB45" s="17"/>
      <c r="FC45" s="17"/>
      <c r="FD45" s="17"/>
      <c r="FE45" s="17"/>
      <c r="FF45" s="17"/>
      <c r="FG45" s="17"/>
      <c r="FH45" s="17"/>
      <c r="FI45" s="17"/>
      <c r="FJ45" s="17"/>
      <c r="FK45" s="17"/>
      <c r="FL45" s="17"/>
      <c r="FM45" s="17"/>
      <c r="FN45" s="17"/>
      <c r="FO45" s="17"/>
      <c r="FP45" s="17"/>
      <c r="FQ45" s="17"/>
      <c r="FR45" s="17"/>
      <c r="FS45" s="17"/>
      <c r="FT45" s="17"/>
      <c r="FU45" s="17"/>
      <c r="FV45" s="17"/>
    </row>
    <row r="46" spans="1:179" s="314" customFormat="1">
      <c r="A46" s="460" t="s">
        <v>332</v>
      </c>
      <c r="B46" s="180" t="s">
        <v>312</v>
      </c>
      <c r="C46" s="460" t="s">
        <v>326</v>
      </c>
      <c r="D46" s="460"/>
      <c r="E46" s="461"/>
      <c r="F46" s="375" t="s">
        <v>149</v>
      </c>
      <c r="G46" s="462">
        <f t="shared" ref="G46:BR47" si="55">G12*G2</f>
        <v>1289733333.3333333</v>
      </c>
      <c r="H46" s="462">
        <f t="shared" si="55"/>
        <v>1256541666.6666665</v>
      </c>
      <c r="I46" s="462">
        <f t="shared" si="55"/>
        <v>1047908333.3333333</v>
      </c>
      <c r="J46" s="462">
        <f t="shared" si="55"/>
        <v>986266666.66666663</v>
      </c>
      <c r="K46" s="462">
        <f t="shared" si="55"/>
        <v>1000491666.6666666</v>
      </c>
      <c r="L46" s="462">
        <f t="shared" si="55"/>
        <v>1031312500</v>
      </c>
      <c r="M46" s="462">
        <f t="shared" si="55"/>
        <v>1009975000</v>
      </c>
      <c r="N46" s="462">
        <f t="shared" si="55"/>
        <v>995275833.33333325</v>
      </c>
      <c r="O46" s="462">
        <f t="shared" si="55"/>
        <v>979154166.66666663</v>
      </c>
      <c r="P46" s="462">
        <f t="shared" si="55"/>
        <v>963980833.33333325</v>
      </c>
      <c r="Q46" s="462">
        <f t="shared" si="55"/>
        <v>953075000</v>
      </c>
      <c r="R46" s="462">
        <f t="shared" si="55"/>
        <v>922254166.66666663</v>
      </c>
      <c r="S46" s="462">
        <f t="shared" si="55"/>
        <v>965403333.33333325</v>
      </c>
      <c r="T46" s="462">
        <f t="shared" si="55"/>
        <v>941078583.33333325</v>
      </c>
      <c r="U46" s="462">
        <f t="shared" si="55"/>
        <v>903619416.66666663</v>
      </c>
      <c r="V46" s="462">
        <f t="shared" si="55"/>
        <v>1046201333.3333333</v>
      </c>
      <c r="W46" s="462">
        <f t="shared" si="55"/>
        <v>1002862500</v>
      </c>
      <c r="X46" s="462">
        <f t="shared" si="55"/>
        <v>893235166.66666663</v>
      </c>
      <c r="Y46" s="462">
        <f t="shared" si="55"/>
        <v>572651083.33333325</v>
      </c>
      <c r="Z46" s="462">
        <f t="shared" si="55"/>
        <v>659281333.33333325</v>
      </c>
      <c r="AA46" s="462">
        <f t="shared" si="55"/>
        <v>627132833.33333325</v>
      </c>
      <c r="AB46" s="462">
        <f t="shared" si="55"/>
        <v>627369916.66666663</v>
      </c>
      <c r="AC46" s="462">
        <f t="shared" si="55"/>
        <v>707551500</v>
      </c>
      <c r="AD46" s="462">
        <f t="shared" si="55"/>
        <v>668954333.33333325</v>
      </c>
      <c r="AE46" s="462">
        <f t="shared" si="55"/>
        <v>523669666.66666663</v>
      </c>
      <c r="AF46" s="462">
        <f t="shared" si="55"/>
        <v>724099916.66666663</v>
      </c>
      <c r="AG46" s="462">
        <f t="shared" si="55"/>
        <v>721254916.66666663</v>
      </c>
      <c r="AH46" s="462">
        <f t="shared" si="55"/>
        <v>853215500</v>
      </c>
      <c r="AI46" s="462">
        <f t="shared" si="55"/>
        <v>917702166.66666663</v>
      </c>
      <c r="AJ46" s="462">
        <f t="shared" si="55"/>
        <v>1115334833.3333333</v>
      </c>
      <c r="AK46" s="462">
        <f t="shared" si="55"/>
        <v>1140133750</v>
      </c>
      <c r="AL46" s="462">
        <f t="shared" si="55"/>
        <v>965498166.66666663</v>
      </c>
      <c r="AM46" s="462">
        <f t="shared" si="55"/>
        <v>922680916.66666663</v>
      </c>
      <c r="AN46" s="462">
        <f t="shared" si="55"/>
        <v>967916416.66666663</v>
      </c>
      <c r="AO46" s="462">
        <f t="shared" si="55"/>
        <v>721966166.66666663</v>
      </c>
      <c r="AP46" s="462">
        <f t="shared" si="55"/>
        <v>800251083.33333325</v>
      </c>
      <c r="AQ46" s="462">
        <f t="shared" si="55"/>
        <v>1367212166.6666665</v>
      </c>
      <c r="AR46" s="462">
        <f t="shared" si="55"/>
        <v>1378687000</v>
      </c>
      <c r="AS46" s="462">
        <f t="shared" si="55"/>
        <v>1419512750</v>
      </c>
      <c r="AT46" s="462">
        <f t="shared" si="55"/>
        <v>1374842683.1765764</v>
      </c>
      <c r="AU46" s="373">
        <f t="shared" si="55"/>
        <v>1379044424.8593802</v>
      </c>
      <c r="AV46" s="373">
        <f t="shared" si="55"/>
        <v>1629545101.6848261</v>
      </c>
      <c r="AW46" s="373">
        <f t="shared" si="55"/>
        <v>1591343199.6509717</v>
      </c>
      <c r="AX46" s="373">
        <f t="shared" si="55"/>
        <v>1243212871.1445205</v>
      </c>
      <c r="AY46" s="373">
        <f t="shared" si="55"/>
        <v>1706780703.8413458</v>
      </c>
      <c r="AZ46" s="373">
        <f t="shared" si="55"/>
        <v>1916921551.603076</v>
      </c>
      <c r="BA46" s="373">
        <f t="shared" si="55"/>
        <v>1982133835.2812154</v>
      </c>
      <c r="BB46" s="373">
        <f t="shared" si="55"/>
        <v>1996887211.4071765</v>
      </c>
      <c r="BC46" s="373">
        <f t="shared" si="55"/>
        <v>1232654706.7663169</v>
      </c>
      <c r="BD46" s="373">
        <f t="shared" si="55"/>
        <v>1101639688.4588211</v>
      </c>
      <c r="BE46" s="373">
        <f t="shared" si="55"/>
        <v>1103036750.3994024</v>
      </c>
      <c r="BF46" s="373">
        <f t="shared" si="55"/>
        <v>1133624827.7955134</v>
      </c>
      <c r="BG46" s="373">
        <f t="shared" si="55"/>
        <v>1105660091.3748419</v>
      </c>
      <c r="BH46" s="373">
        <f t="shared" si="55"/>
        <v>1108749549.0588937</v>
      </c>
      <c r="BI46" s="373">
        <f t="shared" si="55"/>
        <v>1168879925.4696844</v>
      </c>
      <c r="BJ46" s="373">
        <f t="shared" si="55"/>
        <v>1164454971.5775049</v>
      </c>
      <c r="BK46" s="373">
        <f t="shared" si="55"/>
        <v>1177331392.8450325</v>
      </c>
      <c r="BL46" s="373">
        <f t="shared" si="55"/>
        <v>1188044985.1696365</v>
      </c>
      <c r="BM46" s="373">
        <f t="shared" si="55"/>
        <v>1222810873.0892406</v>
      </c>
      <c r="BN46" s="373">
        <f t="shared" si="55"/>
        <v>1168499850.3927243</v>
      </c>
      <c r="BO46" s="373">
        <f t="shared" si="55"/>
        <v>1088339449.3449023</v>
      </c>
      <c r="BP46" s="373">
        <f t="shared" si="55"/>
        <v>1088112395.8850474</v>
      </c>
      <c r="BQ46" s="373">
        <f t="shared" si="55"/>
        <v>1105625963.2955706</v>
      </c>
      <c r="BR46" s="373">
        <f t="shared" si="55"/>
        <v>1132811286.9414909</v>
      </c>
      <c r="BS46" s="373">
        <f t="shared" ref="BS46:CL47" si="56">BS12*BS2</f>
        <v>1148839941.8063359</v>
      </c>
      <c r="BT46" s="373">
        <f t="shared" si="56"/>
        <v>1116282134.4984467</v>
      </c>
      <c r="BU46" s="373">
        <f t="shared" si="56"/>
        <v>978895361.24333608</v>
      </c>
      <c r="BV46" s="373">
        <f t="shared" si="56"/>
        <v>990548597.24474275</v>
      </c>
      <c r="BW46" s="373">
        <f t="shared" si="56"/>
        <v>1013509133.062564</v>
      </c>
      <c r="BX46" s="373">
        <f t="shared" si="56"/>
        <v>987395917.93822384</v>
      </c>
      <c r="BY46" s="373">
        <f t="shared" si="56"/>
        <v>1008198330.3513852</v>
      </c>
      <c r="BZ46" s="373">
        <f t="shared" si="56"/>
        <v>1043128116.021217</v>
      </c>
      <c r="CA46" s="373">
        <f t="shared" si="56"/>
        <v>904291967.76679444</v>
      </c>
      <c r="CB46" s="373">
        <f t="shared" si="56"/>
        <v>873254395.40173697</v>
      </c>
      <c r="CC46" s="373">
        <f t="shared" si="56"/>
        <v>930854878.91728938</v>
      </c>
      <c r="CD46" s="373">
        <f t="shared" si="56"/>
        <v>894379207.42279291</v>
      </c>
      <c r="CE46" s="373">
        <f t="shared" si="56"/>
        <v>920715269.12800527</v>
      </c>
      <c r="CF46" s="373">
        <f t="shared" si="56"/>
        <v>928099598.19715178</v>
      </c>
      <c r="CG46" s="373">
        <f t="shared" si="56"/>
        <v>909517201.98925984</v>
      </c>
      <c r="CH46" s="373">
        <f t="shared" si="56"/>
        <v>921716532.0942986</v>
      </c>
      <c r="CI46" s="373">
        <f t="shared" si="56"/>
        <v>917498708.39722025</v>
      </c>
      <c r="CJ46" s="373">
        <f t="shared" si="56"/>
        <v>928703705.40429604</v>
      </c>
      <c r="CK46" s="373">
        <f t="shared" si="56"/>
        <v>894862272.14478111</v>
      </c>
      <c r="CL46" s="373">
        <f t="shared" si="56"/>
        <v>898527536.87796319</v>
      </c>
      <c r="CM46" s="319">
        <f t="shared" si="24"/>
        <v>1058460154.9177164</v>
      </c>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17"/>
      <c r="FG46" s="17"/>
      <c r="FH46" s="17"/>
      <c r="FI46" s="17"/>
      <c r="FJ46" s="17"/>
      <c r="FK46" s="17"/>
      <c r="FL46" s="17"/>
      <c r="FM46" s="17"/>
      <c r="FN46" s="17"/>
      <c r="FO46" s="17"/>
      <c r="FP46" s="17"/>
      <c r="FQ46" s="17"/>
      <c r="FR46" s="17"/>
      <c r="FS46" s="17"/>
      <c r="FT46" s="17"/>
      <c r="FU46" s="17"/>
      <c r="FV46" s="17"/>
    </row>
    <row r="47" spans="1:179" s="314" customFormat="1">
      <c r="A47" s="460" t="s">
        <v>332</v>
      </c>
      <c r="B47" s="180" t="s">
        <v>312</v>
      </c>
      <c r="C47" s="460" t="s">
        <v>326</v>
      </c>
      <c r="D47" s="460"/>
      <c r="E47" s="461"/>
      <c r="F47" s="375" t="s">
        <v>0</v>
      </c>
      <c r="G47" s="462">
        <f t="shared" si="55"/>
        <v>2332045833.3333335</v>
      </c>
      <c r="H47" s="462">
        <f t="shared" si="55"/>
        <v>2282675000</v>
      </c>
      <c r="I47" s="462">
        <f t="shared" si="55"/>
        <v>2003875000</v>
      </c>
      <c r="J47" s="462">
        <f t="shared" si="55"/>
        <v>1930690000</v>
      </c>
      <c r="K47" s="462">
        <f t="shared" si="55"/>
        <v>1902229166.6666667</v>
      </c>
      <c r="L47" s="462">
        <f t="shared" si="55"/>
        <v>1922558333.3333335</v>
      </c>
      <c r="M47" s="462">
        <f t="shared" si="55"/>
        <v>1896420833.3333335</v>
      </c>
      <c r="N47" s="462">
        <f t="shared" si="55"/>
        <v>1876091666.6666667</v>
      </c>
      <c r="O47" s="462">
        <f t="shared" si="55"/>
        <v>1748308333.3333335</v>
      </c>
      <c r="P47" s="462">
        <f t="shared" si="55"/>
        <v>1719266666.6666667</v>
      </c>
      <c r="Q47" s="462">
        <f t="shared" si="55"/>
        <v>1701841666.6666667</v>
      </c>
      <c r="R47" s="462">
        <f t="shared" si="55"/>
        <v>1637950000</v>
      </c>
      <c r="S47" s="462">
        <f t="shared" si="55"/>
        <v>1691967500</v>
      </c>
      <c r="T47" s="462">
        <f t="shared" si="55"/>
        <v>1625171666.6666667</v>
      </c>
      <c r="U47" s="462">
        <f t="shared" si="55"/>
        <v>1652470833.3333335</v>
      </c>
      <c r="V47" s="462">
        <f t="shared" si="55"/>
        <v>1855181666.6666667</v>
      </c>
      <c r="W47" s="462">
        <f t="shared" si="55"/>
        <v>1879576666.6666667</v>
      </c>
      <c r="X47" s="462">
        <f t="shared" si="55"/>
        <v>1585675000</v>
      </c>
      <c r="Y47" s="462">
        <f t="shared" si="55"/>
        <v>1360892500</v>
      </c>
      <c r="Z47" s="462">
        <f t="shared" si="55"/>
        <v>1428850000</v>
      </c>
      <c r="AA47" s="462">
        <f t="shared" si="55"/>
        <v>1399808333.3333335</v>
      </c>
      <c r="AB47" s="462">
        <f t="shared" si="55"/>
        <v>1446275000</v>
      </c>
      <c r="AC47" s="462">
        <f t="shared" si="55"/>
        <v>1346371666.6666667</v>
      </c>
      <c r="AD47" s="462">
        <f t="shared" si="55"/>
        <v>1321395833.3333335</v>
      </c>
      <c r="AE47" s="462">
        <f t="shared" si="55"/>
        <v>1240079166.6666667</v>
      </c>
      <c r="AF47" s="462">
        <f t="shared" si="55"/>
        <v>1395161666.6666667</v>
      </c>
      <c r="AG47" s="462">
        <f t="shared" si="55"/>
        <v>1572315833.3333335</v>
      </c>
      <c r="AH47" s="462">
        <f t="shared" si="55"/>
        <v>1655375000</v>
      </c>
      <c r="AI47" s="462">
        <f t="shared" si="55"/>
        <v>1779673333.3333335</v>
      </c>
      <c r="AJ47" s="462">
        <f t="shared" si="55"/>
        <v>1945210833.3333335</v>
      </c>
      <c r="AK47" s="462">
        <f t="shared" si="55"/>
        <v>2026527500</v>
      </c>
      <c r="AL47" s="462">
        <f t="shared" si="55"/>
        <v>1874349166.6666667</v>
      </c>
      <c r="AM47" s="462">
        <f t="shared" si="55"/>
        <v>1722170833.3333335</v>
      </c>
      <c r="AN47" s="462">
        <f t="shared" si="55"/>
        <v>1647243333.3333335</v>
      </c>
      <c r="AO47" s="462">
        <f t="shared" si="55"/>
        <v>1497388333.3333335</v>
      </c>
      <c r="AP47" s="462">
        <f t="shared" si="55"/>
        <v>1672219166.6666667</v>
      </c>
      <c r="AQ47" s="462">
        <f t="shared" si="55"/>
        <v>2192065000</v>
      </c>
      <c r="AR47" s="462">
        <f t="shared" si="55"/>
        <v>2260022500</v>
      </c>
      <c r="AS47" s="462">
        <f t="shared" si="55"/>
        <v>2276866666.666667</v>
      </c>
      <c r="AT47" s="462">
        <f t="shared" si="55"/>
        <v>2280801217.8152146</v>
      </c>
      <c r="AU47" s="373">
        <f t="shared" si="55"/>
        <v>2051561001.1108587</v>
      </c>
      <c r="AV47" s="373">
        <f t="shared" si="55"/>
        <v>1895993546.8846843</v>
      </c>
      <c r="AW47" s="373">
        <f t="shared" si="55"/>
        <v>1893035379.8695486</v>
      </c>
      <c r="AX47" s="373">
        <f t="shared" si="55"/>
        <v>2051634039.869015</v>
      </c>
      <c r="AY47" s="373">
        <f t="shared" si="55"/>
        <v>2306138870.2628679</v>
      </c>
      <c r="AZ47" s="373">
        <f t="shared" si="55"/>
        <v>2315972977.7881145</v>
      </c>
      <c r="BA47" s="373">
        <f t="shared" si="55"/>
        <v>2450352193.8072844</v>
      </c>
      <c r="BB47" s="373">
        <f t="shared" si="55"/>
        <v>2634293642.1204391</v>
      </c>
      <c r="BC47" s="373">
        <f t="shared" si="55"/>
        <v>2928652492.1208496</v>
      </c>
      <c r="BD47" s="373">
        <f t="shared" si="55"/>
        <v>2357217910.0577374</v>
      </c>
      <c r="BE47" s="373">
        <f t="shared" si="55"/>
        <v>1913739577.4511683</v>
      </c>
      <c r="BF47" s="373">
        <f t="shared" si="55"/>
        <v>1848864743.9504259</v>
      </c>
      <c r="BG47" s="373">
        <f t="shared" si="55"/>
        <v>1903717603.7850983</v>
      </c>
      <c r="BH47" s="373">
        <f t="shared" si="55"/>
        <v>2067942450.4452426</v>
      </c>
      <c r="BI47" s="373">
        <f t="shared" si="55"/>
        <v>2173091870.1391225</v>
      </c>
      <c r="BJ47" s="373">
        <f t="shared" si="55"/>
        <v>2225371810.2978559</v>
      </c>
      <c r="BK47" s="373">
        <f t="shared" si="55"/>
        <v>1813899239.7433743</v>
      </c>
      <c r="BL47" s="373">
        <f t="shared" si="55"/>
        <v>1567541019.8801632</v>
      </c>
      <c r="BM47" s="373">
        <f t="shared" si="55"/>
        <v>1597462988.516</v>
      </c>
      <c r="BN47" s="373">
        <f t="shared" si="55"/>
        <v>1517697526.8304498</v>
      </c>
      <c r="BO47" s="373">
        <f t="shared" si="55"/>
        <v>1812440701.5444</v>
      </c>
      <c r="BP47" s="373">
        <f t="shared" si="55"/>
        <v>1866262541.0918665</v>
      </c>
      <c r="BQ47" s="373">
        <f t="shared" si="55"/>
        <v>1903038574.5947883</v>
      </c>
      <c r="BR47" s="373">
        <f t="shared" si="55"/>
        <v>2448033434.4741688</v>
      </c>
      <c r="BS47" s="373">
        <f t="shared" si="56"/>
        <v>2194199046.6185546</v>
      </c>
      <c r="BT47" s="373">
        <f t="shared" si="56"/>
        <v>1939527809.6978757</v>
      </c>
      <c r="BU47" s="373">
        <f t="shared" si="56"/>
        <v>1064857443.6394666</v>
      </c>
      <c r="BV47" s="373">
        <f t="shared" si="56"/>
        <v>1562877291.4860117</v>
      </c>
      <c r="BW47" s="373">
        <f t="shared" si="56"/>
        <v>1610858921.0063634</v>
      </c>
      <c r="BX47" s="373">
        <f t="shared" si="56"/>
        <v>1640177420.5697052</v>
      </c>
      <c r="BY47" s="373">
        <f t="shared" si="56"/>
        <v>1655978230.4587488</v>
      </c>
      <c r="BZ47" s="373">
        <f t="shared" si="56"/>
        <v>1629834439.9843309</v>
      </c>
      <c r="CA47" s="373">
        <f t="shared" si="56"/>
        <v>1673992851.3350604</v>
      </c>
      <c r="CB47" s="373">
        <f t="shared" si="56"/>
        <v>1940238250.574914</v>
      </c>
      <c r="CC47" s="373">
        <f t="shared" si="56"/>
        <v>2012248797.9879448</v>
      </c>
      <c r="CD47" s="373">
        <f t="shared" si="56"/>
        <v>2444081233.6200891</v>
      </c>
      <c r="CE47" s="373">
        <f t="shared" si="56"/>
        <v>2676104945.6031342</v>
      </c>
      <c r="CF47" s="373">
        <f t="shared" si="56"/>
        <v>2766021645.6147633</v>
      </c>
      <c r="CG47" s="373">
        <f t="shared" si="56"/>
        <v>2534763193.1005487</v>
      </c>
      <c r="CH47" s="373">
        <f t="shared" si="56"/>
        <v>2206314714.5208468</v>
      </c>
      <c r="CI47" s="373">
        <f t="shared" si="56"/>
        <v>2370384440.7796741</v>
      </c>
      <c r="CJ47" s="373">
        <f t="shared" si="56"/>
        <v>2804108915.1629715</v>
      </c>
      <c r="CK47" s="373">
        <f t="shared" si="56"/>
        <v>2971381330.4841633</v>
      </c>
      <c r="CL47" s="375">
        <f t="shared" si="56"/>
        <v>2968472221.8033333</v>
      </c>
      <c r="CM47" s="319">
        <f t="shared" si="24"/>
        <v>1938040928.5535626</v>
      </c>
      <c r="CN47" s="17"/>
      <c r="CO47" s="17"/>
      <c r="CP47" s="17"/>
      <c r="CQ47" s="17"/>
      <c r="CR47" s="17"/>
      <c r="CS47" s="17"/>
      <c r="CT47" s="17"/>
      <c r="CU47" s="17"/>
      <c r="CV47" s="17"/>
      <c r="CW47" s="17"/>
      <c r="CX47" s="17"/>
      <c r="CY47" s="17"/>
      <c r="CZ47" s="17"/>
      <c r="DA47" s="17"/>
      <c r="DB47" s="17"/>
      <c r="DC47" s="17"/>
      <c r="DD47" s="17"/>
      <c r="DE47" s="17"/>
      <c r="DF47" s="17"/>
      <c r="DG47" s="17"/>
      <c r="DH47" s="17"/>
      <c r="DI47" s="17"/>
      <c r="DJ47" s="17"/>
      <c r="DK47" s="17"/>
      <c r="DL47" s="17"/>
      <c r="DM47" s="17"/>
      <c r="DN47" s="17"/>
      <c r="DO47" s="17"/>
      <c r="DP47" s="17"/>
      <c r="DQ47" s="17"/>
      <c r="DR47" s="17"/>
      <c r="DS47" s="17"/>
      <c r="DT47" s="17"/>
      <c r="DU47" s="17"/>
      <c r="DV47" s="17"/>
      <c r="DW47" s="17"/>
      <c r="DX47" s="17"/>
      <c r="DY47" s="17"/>
      <c r="DZ47" s="17"/>
      <c r="EA47" s="17"/>
      <c r="EB47" s="17"/>
      <c r="EC47" s="17"/>
      <c r="ED47" s="17"/>
      <c r="EE47" s="17"/>
      <c r="EF47" s="17"/>
      <c r="EG47" s="17"/>
      <c r="EH47" s="17"/>
      <c r="EI47" s="17"/>
      <c r="EJ47" s="17"/>
      <c r="EK47" s="17"/>
      <c r="EL47" s="17"/>
      <c r="EM47" s="17"/>
      <c r="EN47" s="17"/>
      <c r="EO47" s="17"/>
      <c r="EP47" s="17"/>
      <c r="EQ47" s="17"/>
      <c r="ER47" s="17"/>
      <c r="ES47" s="17"/>
      <c r="ET47" s="17"/>
      <c r="EU47" s="17"/>
      <c r="EV47" s="17"/>
      <c r="EW47" s="17"/>
      <c r="EX47" s="17"/>
      <c r="EY47" s="17"/>
      <c r="EZ47" s="17"/>
      <c r="FA47" s="17"/>
      <c r="FB47" s="17"/>
      <c r="FC47" s="17"/>
      <c r="FD47" s="17"/>
      <c r="FE47" s="17"/>
      <c r="FF47" s="17"/>
      <c r="FG47" s="17"/>
      <c r="FH47" s="17"/>
      <c r="FI47" s="17"/>
      <c r="FJ47" s="17"/>
      <c r="FK47" s="17"/>
      <c r="FL47" s="17"/>
      <c r="FM47" s="17"/>
      <c r="FN47" s="17"/>
      <c r="FO47" s="17"/>
      <c r="FP47" s="17"/>
      <c r="FQ47" s="17"/>
      <c r="FR47" s="17"/>
      <c r="FS47" s="17"/>
      <c r="FT47" s="17"/>
      <c r="FU47" s="17"/>
      <c r="FV47" s="17"/>
    </row>
    <row r="48" spans="1:179">
      <c r="A48" s="463" t="s">
        <v>332</v>
      </c>
      <c r="B48" s="52" t="s">
        <v>312</v>
      </c>
      <c r="C48" s="362" t="s">
        <v>326</v>
      </c>
      <c r="D48" s="362"/>
      <c r="E48" s="58"/>
      <c r="F48" s="382" t="s">
        <v>306</v>
      </c>
      <c r="G48" s="464">
        <f t="shared" ref="G48:BR49" si="57">G4*G14</f>
        <v>410266666.66666669</v>
      </c>
      <c r="H48" s="464">
        <f t="shared" si="57"/>
        <v>391000000</v>
      </c>
      <c r="I48" s="464">
        <f t="shared" si="57"/>
        <v>357000000</v>
      </c>
      <c r="J48" s="464">
        <f t="shared" si="57"/>
        <v>342266666.66666669</v>
      </c>
      <c r="K48" s="464">
        <f t="shared" si="57"/>
        <v>338866666.66666669</v>
      </c>
      <c r="L48" s="464">
        <f t="shared" si="57"/>
        <v>346800000</v>
      </c>
      <c r="M48" s="464">
        <f t="shared" si="57"/>
        <v>334333333.33333337</v>
      </c>
      <c r="N48" s="464">
        <f t="shared" si="57"/>
        <v>329800000</v>
      </c>
      <c r="O48" s="464">
        <f t="shared" si="57"/>
        <v>327533333.33333337</v>
      </c>
      <c r="P48" s="464">
        <f t="shared" si="57"/>
        <v>325266666.66666669</v>
      </c>
      <c r="Q48" s="464">
        <f t="shared" si="57"/>
        <v>323226666.66666669</v>
      </c>
      <c r="R48" s="464">
        <f t="shared" si="57"/>
        <v>311100000</v>
      </c>
      <c r="S48" s="464">
        <f t="shared" si="57"/>
        <v>325799333.33333337</v>
      </c>
      <c r="T48" s="464">
        <f t="shared" si="57"/>
        <v>298780666.66666669</v>
      </c>
      <c r="U48" s="464">
        <f t="shared" si="57"/>
        <v>320892000</v>
      </c>
      <c r="V48" s="464">
        <f t="shared" si="57"/>
        <v>350245333.33333337</v>
      </c>
      <c r="W48" s="464">
        <f t="shared" si="57"/>
        <v>364695333.33333337</v>
      </c>
      <c r="X48" s="464">
        <f t="shared" si="57"/>
        <v>288535333.33333337</v>
      </c>
      <c r="Y48" s="464">
        <f t="shared" si="57"/>
        <v>254365333.33333334</v>
      </c>
      <c r="Z48" s="464">
        <f t="shared" si="57"/>
        <v>257278000</v>
      </c>
      <c r="AA48" s="464">
        <f t="shared" si="57"/>
        <v>263545333.33333334</v>
      </c>
      <c r="AB48" s="464">
        <f t="shared" si="57"/>
        <v>279820000</v>
      </c>
      <c r="AC48" s="464">
        <f t="shared" si="57"/>
        <v>248687333.33333334</v>
      </c>
      <c r="AD48" s="464">
        <f t="shared" si="57"/>
        <v>238816000</v>
      </c>
      <c r="AE48" s="464">
        <f t="shared" si="57"/>
        <v>234418666.66666669</v>
      </c>
      <c r="AF48" s="464">
        <f t="shared" si="57"/>
        <v>253413333.33333334</v>
      </c>
      <c r="AG48" s="464">
        <f t="shared" si="57"/>
        <v>296128666.66666669</v>
      </c>
      <c r="AH48" s="464">
        <f t="shared" si="57"/>
        <v>319940000</v>
      </c>
      <c r="AI48" s="464">
        <f t="shared" si="57"/>
        <v>337914666.66666669</v>
      </c>
      <c r="AJ48" s="464">
        <f t="shared" si="57"/>
        <v>365590666.66666669</v>
      </c>
      <c r="AK48" s="464">
        <f t="shared" si="57"/>
        <v>381627333.33333337</v>
      </c>
      <c r="AL48" s="464">
        <f t="shared" si="57"/>
        <v>353588666.66666669</v>
      </c>
      <c r="AM48" s="464">
        <f t="shared" si="57"/>
        <v>324541333.33333337</v>
      </c>
      <c r="AN48" s="464">
        <f t="shared" si="57"/>
        <v>317877333.33333337</v>
      </c>
      <c r="AO48" s="464">
        <f t="shared" si="57"/>
        <v>291108000</v>
      </c>
      <c r="AP48" s="464">
        <f t="shared" si="57"/>
        <v>320631333.33333337</v>
      </c>
      <c r="AQ48" s="464">
        <f t="shared" si="57"/>
        <v>417066666.66666669</v>
      </c>
      <c r="AR48" s="464">
        <f t="shared" si="57"/>
        <v>419435333.33333337</v>
      </c>
      <c r="AS48" s="464">
        <f t="shared" si="57"/>
        <v>442362666.66666669</v>
      </c>
      <c r="AT48" s="464">
        <f t="shared" si="57"/>
        <v>429928480.72903568</v>
      </c>
      <c r="AU48" s="376">
        <f t="shared" si="57"/>
        <v>385079925.02018911</v>
      </c>
      <c r="AV48" s="376">
        <f t="shared" si="57"/>
        <v>358381905.97104824</v>
      </c>
      <c r="AW48" s="376">
        <f t="shared" si="57"/>
        <v>365450349.45459408</v>
      </c>
      <c r="AX48" s="376">
        <f t="shared" si="57"/>
        <v>404426627.86456275</v>
      </c>
      <c r="AY48" s="376">
        <f t="shared" si="57"/>
        <v>450271600.75166714</v>
      </c>
      <c r="AZ48" s="376">
        <f t="shared" si="57"/>
        <v>464124553.01326114</v>
      </c>
      <c r="BA48" s="376">
        <f t="shared" si="57"/>
        <v>490336763.18999994</v>
      </c>
      <c r="BB48" s="376">
        <f t="shared" si="57"/>
        <v>543865990.58020711</v>
      </c>
      <c r="BC48" s="376">
        <f t="shared" si="57"/>
        <v>571576013.79636884</v>
      </c>
      <c r="BD48" s="376">
        <f t="shared" si="57"/>
        <v>447972006.50337148</v>
      </c>
      <c r="BE48" s="376">
        <f t="shared" si="57"/>
        <v>348009572.91704518</v>
      </c>
      <c r="BF48" s="376">
        <f t="shared" si="57"/>
        <v>352653624.82164407</v>
      </c>
      <c r="BG48" s="376">
        <f t="shared" si="57"/>
        <v>396779623.7170344</v>
      </c>
      <c r="BH48" s="376">
        <f t="shared" si="57"/>
        <v>428264388.52257901</v>
      </c>
      <c r="BI48" s="376">
        <f t="shared" si="57"/>
        <v>440493304.01240301</v>
      </c>
      <c r="BJ48" s="376">
        <f t="shared" si="57"/>
        <v>438353684.37427515</v>
      </c>
      <c r="BK48" s="376">
        <f t="shared" si="57"/>
        <v>341574302.39495516</v>
      </c>
      <c r="BL48" s="376">
        <f t="shared" si="57"/>
        <v>289550906.34884405</v>
      </c>
      <c r="BM48" s="376">
        <f t="shared" si="57"/>
        <v>303289587.04156291</v>
      </c>
      <c r="BN48" s="376">
        <f t="shared" si="57"/>
        <v>304560622.44171983</v>
      </c>
      <c r="BO48" s="376">
        <f t="shared" si="57"/>
        <v>366278522.67173648</v>
      </c>
      <c r="BP48" s="376">
        <f t="shared" si="57"/>
        <v>376871752.68364006</v>
      </c>
      <c r="BQ48" s="376">
        <f t="shared" si="57"/>
        <v>383983297.46523815</v>
      </c>
      <c r="BR48" s="376">
        <f t="shared" si="57"/>
        <v>498839665.80887091</v>
      </c>
      <c r="BS48" s="376">
        <f t="shared" ref="BS48:CL49" si="58">BS4*BS14</f>
        <v>462136776.70313042</v>
      </c>
      <c r="BT48" s="376">
        <f t="shared" si="58"/>
        <v>422339719.04686475</v>
      </c>
      <c r="BU48" s="376">
        <f t="shared" si="58"/>
        <v>216757577.51937988</v>
      </c>
      <c r="BV48" s="376">
        <f t="shared" si="58"/>
        <v>304911337</v>
      </c>
      <c r="BW48" s="376">
        <f t="shared" si="58"/>
        <v>296476164.95898461</v>
      </c>
      <c r="BX48" s="376">
        <f t="shared" si="58"/>
        <v>302313693.91750538</v>
      </c>
      <c r="BY48" s="376">
        <f t="shared" si="58"/>
        <v>305445491.78158271</v>
      </c>
      <c r="BZ48" s="376">
        <f t="shared" si="58"/>
        <v>309317829.16913664</v>
      </c>
      <c r="CA48" s="376">
        <f t="shared" si="58"/>
        <v>331013338.95160294</v>
      </c>
      <c r="CB48" s="376">
        <f t="shared" si="58"/>
        <v>387430433.51402414</v>
      </c>
      <c r="CC48" s="376">
        <f t="shared" si="58"/>
        <v>401306632.7953257</v>
      </c>
      <c r="CD48" s="376">
        <f t="shared" si="58"/>
        <v>459550694.32154572</v>
      </c>
      <c r="CE48" s="376">
        <f t="shared" si="58"/>
        <v>504916903.97234732</v>
      </c>
      <c r="CF48" s="376">
        <f t="shared" si="58"/>
        <v>513723584.20511931</v>
      </c>
      <c r="CG48" s="376">
        <f t="shared" si="58"/>
        <v>468121623.78720415</v>
      </c>
      <c r="CH48" s="376">
        <f t="shared" si="58"/>
        <v>413099474.54769146</v>
      </c>
      <c r="CI48" s="376">
        <f t="shared" si="58"/>
        <v>458131228.0794524</v>
      </c>
      <c r="CJ48" s="376">
        <f t="shared" si="58"/>
        <v>547141941.14295363</v>
      </c>
      <c r="CK48" s="376">
        <f t="shared" si="58"/>
        <v>575501124.98956645</v>
      </c>
      <c r="CL48" s="382">
        <f t="shared" si="58"/>
        <v>579275174.2837553</v>
      </c>
      <c r="CM48" s="319">
        <f t="shared" si="24"/>
        <v>370766577.18392479</v>
      </c>
      <c r="CN48" s="58"/>
      <c r="CO48" s="58"/>
      <c r="CP48" s="58"/>
      <c r="CQ48" s="58"/>
      <c r="CR48" s="58"/>
      <c r="CS48" s="58"/>
      <c r="CT48" s="58"/>
      <c r="CU48" s="58"/>
      <c r="CV48" s="58"/>
      <c r="CW48" s="58"/>
      <c r="CX48" s="58"/>
      <c r="CY48" s="58"/>
      <c r="CZ48" s="58"/>
      <c r="DA48" s="58"/>
      <c r="DB48" s="58"/>
      <c r="DC48" s="58"/>
      <c r="DD48" s="58"/>
      <c r="DE48" s="58"/>
      <c r="DF48" s="58"/>
      <c r="DG48" s="58"/>
      <c r="DH48" s="58"/>
      <c r="DI48" s="58"/>
      <c r="DJ48" s="58"/>
      <c r="DK48" s="58"/>
      <c r="DL48" s="58"/>
      <c r="DM48" s="58"/>
      <c r="DN48" s="58"/>
      <c r="DO48" s="58"/>
      <c r="DP48" s="58"/>
      <c r="DQ48" s="58"/>
      <c r="DR48" s="58"/>
      <c r="DS48" s="58"/>
      <c r="DT48" s="58"/>
      <c r="DU48" s="58"/>
      <c r="DV48" s="58"/>
      <c r="DW48" s="58"/>
      <c r="DX48" s="58"/>
      <c r="DY48" s="58"/>
      <c r="DZ48" s="58"/>
      <c r="EA48" s="58"/>
      <c r="EB48" s="58"/>
      <c r="EC48" s="58"/>
      <c r="ED48" s="58"/>
      <c r="EE48" s="58"/>
      <c r="EF48" s="58"/>
      <c r="EG48" s="58"/>
      <c r="EH48" s="58"/>
      <c r="EI48" s="58"/>
      <c r="EJ48" s="58"/>
      <c r="EK48" s="58"/>
      <c r="EL48" s="58"/>
      <c r="EM48" s="58"/>
      <c r="EN48" s="58"/>
      <c r="EO48" s="58"/>
      <c r="EP48" s="58"/>
      <c r="EQ48" s="58"/>
      <c r="ER48" s="58"/>
      <c r="ES48" s="58"/>
      <c r="ET48" s="58"/>
      <c r="EU48" s="58"/>
      <c r="EV48" s="58"/>
      <c r="EW48" s="58"/>
      <c r="EX48" s="58"/>
      <c r="EY48" s="58"/>
      <c r="EZ48" s="58"/>
      <c r="FA48" s="58"/>
      <c r="FB48" s="58"/>
      <c r="FC48" s="58"/>
      <c r="FD48" s="58"/>
      <c r="FE48" s="58"/>
      <c r="FF48" s="58"/>
      <c r="FG48" s="58"/>
      <c r="FH48" s="58"/>
      <c r="FI48" s="58"/>
      <c r="FJ48" s="58"/>
      <c r="FK48" s="58"/>
      <c r="FL48" s="58"/>
      <c r="FM48" s="58"/>
      <c r="FN48" s="58"/>
      <c r="FO48" s="58"/>
      <c r="FP48" s="58"/>
      <c r="FQ48" s="58"/>
      <c r="FR48" s="58"/>
      <c r="FS48" s="58"/>
      <c r="FT48" s="58"/>
      <c r="FU48" s="58"/>
      <c r="FV48" s="58"/>
    </row>
    <row r="49" spans="1:178">
      <c r="A49" s="463" t="s">
        <v>332</v>
      </c>
      <c r="B49" s="52" t="s">
        <v>312</v>
      </c>
      <c r="C49" s="362" t="s">
        <v>326</v>
      </c>
      <c r="D49" s="362"/>
      <c r="E49" s="58"/>
      <c r="F49" s="382" t="s">
        <v>1</v>
      </c>
      <c r="G49" s="464">
        <f t="shared" si="57"/>
        <v>4873275000</v>
      </c>
      <c r="H49" s="464">
        <f t="shared" si="57"/>
        <v>4926975000</v>
      </c>
      <c r="I49" s="464">
        <f t="shared" si="57"/>
        <v>4577925000</v>
      </c>
      <c r="J49" s="464">
        <f t="shared" si="57"/>
        <v>4497375000</v>
      </c>
      <c r="K49" s="464">
        <f t="shared" si="57"/>
        <v>4457100000</v>
      </c>
      <c r="L49" s="464">
        <f t="shared" si="57"/>
        <v>4598062500</v>
      </c>
      <c r="M49" s="464">
        <f t="shared" si="57"/>
        <v>4552417500</v>
      </c>
      <c r="N49" s="464">
        <f t="shared" si="57"/>
        <v>4505430000</v>
      </c>
      <c r="O49" s="464">
        <f t="shared" si="57"/>
        <v>4450387500</v>
      </c>
      <c r="P49" s="464">
        <f t="shared" si="57"/>
        <v>4389975000</v>
      </c>
      <c r="Q49" s="464">
        <f t="shared" si="57"/>
        <v>4363125000</v>
      </c>
      <c r="R49" s="464">
        <f t="shared" si="57"/>
        <v>4202025000</v>
      </c>
      <c r="S49" s="464">
        <f t="shared" si="57"/>
        <v>4249012500</v>
      </c>
      <c r="T49" s="464">
        <f t="shared" si="57"/>
        <v>4403400000</v>
      </c>
      <c r="U49" s="464">
        <f t="shared" si="57"/>
        <v>3536145000</v>
      </c>
      <c r="V49" s="464">
        <f t="shared" si="57"/>
        <v>3823440000</v>
      </c>
      <c r="W49" s="464">
        <f t="shared" si="57"/>
        <v>2687685000</v>
      </c>
      <c r="X49" s="464">
        <f t="shared" si="57"/>
        <v>3444855000</v>
      </c>
      <c r="Y49" s="464">
        <f t="shared" si="57"/>
        <v>3801960000</v>
      </c>
      <c r="Z49" s="464">
        <f t="shared" si="57"/>
        <v>4087912500</v>
      </c>
      <c r="AA49" s="464">
        <f t="shared" si="57"/>
        <v>3917415000</v>
      </c>
      <c r="AB49" s="464">
        <f t="shared" si="57"/>
        <v>4290630000</v>
      </c>
      <c r="AC49" s="464">
        <f t="shared" si="57"/>
        <v>3562995000</v>
      </c>
      <c r="AD49" s="464">
        <f t="shared" si="57"/>
        <v>3710670000</v>
      </c>
      <c r="AE49" s="464">
        <f t="shared" si="57"/>
        <v>3170985000</v>
      </c>
      <c r="AF49" s="464">
        <f t="shared" si="57"/>
        <v>3887880000</v>
      </c>
      <c r="AG49" s="464">
        <f t="shared" si="57"/>
        <v>3933525000</v>
      </c>
      <c r="AH49" s="464">
        <f t="shared" si="57"/>
        <v>5110897500</v>
      </c>
      <c r="AI49" s="464">
        <f t="shared" si="57"/>
        <v>5055855000</v>
      </c>
      <c r="AJ49" s="464">
        <f t="shared" si="57"/>
        <v>4739025000</v>
      </c>
      <c r="AK49" s="464">
        <f t="shared" si="57"/>
        <v>4869247500</v>
      </c>
      <c r="AL49" s="464">
        <f t="shared" si="57"/>
        <v>4271835000</v>
      </c>
      <c r="AM49" s="464">
        <f t="shared" si="57"/>
        <v>4048980000</v>
      </c>
      <c r="AN49" s="464">
        <f t="shared" si="57"/>
        <v>4110735000</v>
      </c>
      <c r="AO49" s="464">
        <f t="shared" si="57"/>
        <v>4300027500</v>
      </c>
      <c r="AP49" s="464">
        <f t="shared" si="57"/>
        <v>3548227500</v>
      </c>
      <c r="AQ49" s="464">
        <f t="shared" si="57"/>
        <v>5433097500</v>
      </c>
      <c r="AR49" s="464">
        <f t="shared" si="57"/>
        <v>4988730000</v>
      </c>
      <c r="AS49" s="464">
        <f t="shared" si="57"/>
        <v>4736340000</v>
      </c>
      <c r="AT49" s="464">
        <f t="shared" si="57"/>
        <v>5030202217.9910574</v>
      </c>
      <c r="AU49" s="376">
        <f t="shared" si="57"/>
        <v>4696037514.2893448</v>
      </c>
      <c r="AV49" s="376">
        <f t="shared" si="57"/>
        <v>4966609196.5035572</v>
      </c>
      <c r="AW49" s="376">
        <f t="shared" si="57"/>
        <v>5156735108.5827198</v>
      </c>
      <c r="AX49" s="376">
        <f t="shared" si="57"/>
        <v>5783180778.2421961</v>
      </c>
      <c r="AY49" s="376">
        <f t="shared" si="57"/>
        <v>5684026050.8294287</v>
      </c>
      <c r="AZ49" s="376">
        <f t="shared" si="57"/>
        <v>5930735442.4069881</v>
      </c>
      <c r="BA49" s="376">
        <f t="shared" si="57"/>
        <v>6101645450.4320116</v>
      </c>
      <c r="BB49" s="376">
        <f t="shared" si="57"/>
        <v>6494321631.537281</v>
      </c>
      <c r="BC49" s="376">
        <f t="shared" si="57"/>
        <v>6677123582.1894426</v>
      </c>
      <c r="BD49" s="376">
        <f t="shared" si="57"/>
        <v>4908005751.3308287</v>
      </c>
      <c r="BE49" s="376">
        <f t="shared" si="57"/>
        <v>4213774854.3266935</v>
      </c>
      <c r="BF49" s="376">
        <f t="shared" si="57"/>
        <v>4289918510.497251</v>
      </c>
      <c r="BG49" s="376">
        <f t="shared" si="57"/>
        <v>4764343215.0946264</v>
      </c>
      <c r="BH49" s="376">
        <f t="shared" si="57"/>
        <v>4987618472.2459564</v>
      </c>
      <c r="BI49" s="376">
        <f t="shared" si="57"/>
        <v>5400137510.1751614</v>
      </c>
      <c r="BJ49" s="376">
        <f t="shared" si="57"/>
        <v>5340036481.5680666</v>
      </c>
      <c r="BK49" s="376">
        <f t="shared" si="57"/>
        <v>4404217760.1270571</v>
      </c>
      <c r="BL49" s="376">
        <f t="shared" si="57"/>
        <v>4678885617.810997</v>
      </c>
      <c r="BM49" s="376">
        <f t="shared" si="57"/>
        <v>4395803062.5862684</v>
      </c>
      <c r="BN49" s="376">
        <f t="shared" si="57"/>
        <v>4556645632.7140312</v>
      </c>
      <c r="BO49" s="376">
        <f t="shared" si="57"/>
        <v>4854623755.9281235</v>
      </c>
      <c r="BP49" s="376">
        <f t="shared" si="57"/>
        <v>4860963964.634923</v>
      </c>
      <c r="BQ49" s="376">
        <f t="shared" si="57"/>
        <v>5264265093.3009176</v>
      </c>
      <c r="BR49" s="376">
        <f t="shared" si="57"/>
        <v>5102239717.3726568</v>
      </c>
      <c r="BS49" s="376">
        <f t="shared" si="58"/>
        <v>4557642401.9652891</v>
      </c>
      <c r="BT49" s="376">
        <f t="shared" si="58"/>
        <v>2930708447.3615656</v>
      </c>
      <c r="BU49" s="376">
        <f t="shared" si="58"/>
        <v>5587216503.4159889</v>
      </c>
      <c r="BV49" s="376">
        <f t="shared" si="58"/>
        <v>4872350017.9123583</v>
      </c>
      <c r="BW49" s="376">
        <f t="shared" si="58"/>
        <v>5400952681.235425</v>
      </c>
      <c r="BX49" s="376">
        <f t="shared" si="58"/>
        <v>3891170028.2907062</v>
      </c>
      <c r="BY49" s="376">
        <f t="shared" si="58"/>
        <v>3933018157.6299548</v>
      </c>
      <c r="BZ49" s="376">
        <f t="shared" si="58"/>
        <v>3768567776.355536</v>
      </c>
      <c r="CA49" s="376">
        <f t="shared" si="58"/>
        <v>3117196435.8266759</v>
      </c>
      <c r="CB49" s="376">
        <f t="shared" si="58"/>
        <v>3716058549.3068819</v>
      </c>
      <c r="CC49" s="376">
        <f t="shared" si="58"/>
        <v>4282108683.9819984</v>
      </c>
      <c r="CD49" s="376">
        <f t="shared" si="58"/>
        <v>4880338833.9860449</v>
      </c>
      <c r="CE49" s="376">
        <f t="shared" si="58"/>
        <v>5388093340.0656729</v>
      </c>
      <c r="CF49" s="376">
        <f t="shared" si="58"/>
        <v>5765184638.427537</v>
      </c>
      <c r="CG49" s="376">
        <f t="shared" si="58"/>
        <v>5512504536.7665443</v>
      </c>
      <c r="CH49" s="376">
        <f t="shared" si="58"/>
        <v>5808469798.17274</v>
      </c>
      <c r="CI49" s="376">
        <f t="shared" si="58"/>
        <v>6278124365.1220627</v>
      </c>
      <c r="CJ49" s="376">
        <f t="shared" si="58"/>
        <v>6692115965.5554724</v>
      </c>
      <c r="CK49" s="376">
        <f t="shared" si="58"/>
        <v>6438478441.353652</v>
      </c>
      <c r="CL49" s="382">
        <f t="shared" si="58"/>
        <v>6604833704.6826477</v>
      </c>
      <c r="CM49" s="319">
        <f t="shared" si="24"/>
        <v>4691462020.0015755</v>
      </c>
      <c r="CN49" s="58"/>
      <c r="CO49" s="58"/>
      <c r="CP49" s="58"/>
      <c r="CQ49" s="58"/>
      <c r="CR49" s="58"/>
      <c r="CS49" s="58"/>
      <c r="CT49" s="58"/>
      <c r="CU49" s="58"/>
      <c r="CV49" s="58"/>
      <c r="CW49" s="58"/>
      <c r="CX49" s="58"/>
      <c r="CY49" s="58"/>
      <c r="CZ49" s="58"/>
      <c r="DA49" s="58"/>
      <c r="DB49" s="58"/>
      <c r="DC49" s="58"/>
      <c r="DD49" s="58"/>
      <c r="DE49" s="58"/>
      <c r="DF49" s="58"/>
      <c r="DG49" s="58"/>
      <c r="DH49" s="58"/>
      <c r="DI49" s="58"/>
      <c r="DJ49" s="58"/>
      <c r="DK49" s="58"/>
      <c r="DL49" s="58"/>
      <c r="DM49" s="58"/>
      <c r="DN49" s="58"/>
      <c r="DO49" s="58"/>
      <c r="DP49" s="58"/>
      <c r="DQ49" s="58"/>
      <c r="DR49" s="58"/>
      <c r="DS49" s="58"/>
      <c r="DT49" s="58"/>
      <c r="DU49" s="58"/>
      <c r="DV49" s="58"/>
      <c r="DW49" s="58"/>
      <c r="DX49" s="490"/>
      <c r="DY49" s="58"/>
      <c r="DZ49" s="58"/>
      <c r="EA49" s="58"/>
      <c r="EB49" s="58"/>
      <c r="EC49" s="58"/>
      <c r="ED49" s="58"/>
      <c r="EE49" s="58"/>
      <c r="EF49" s="58"/>
      <c r="EG49" s="58"/>
      <c r="EH49" s="58"/>
      <c r="EI49" s="58"/>
      <c r="EJ49" s="58"/>
      <c r="EK49" s="58"/>
      <c r="EL49" s="58"/>
      <c r="EM49" s="58"/>
      <c r="EN49" s="58"/>
      <c r="EO49" s="58"/>
      <c r="EP49" s="58"/>
      <c r="EQ49" s="58"/>
      <c r="ER49" s="58"/>
      <c r="ES49" s="58"/>
      <c r="ET49" s="58"/>
      <c r="EU49" s="58"/>
      <c r="EV49" s="58"/>
      <c r="EW49" s="58"/>
      <c r="EX49" s="58"/>
      <c r="EY49" s="58"/>
      <c r="EZ49" s="58"/>
      <c r="FA49" s="58"/>
      <c r="FB49" s="58"/>
      <c r="FC49" s="58"/>
      <c r="FD49" s="58"/>
      <c r="FE49" s="58"/>
      <c r="FF49" s="58"/>
      <c r="FG49" s="58"/>
      <c r="FH49" s="58"/>
      <c r="FI49" s="58"/>
      <c r="FJ49" s="58"/>
      <c r="FK49" s="58"/>
      <c r="FL49" s="58"/>
      <c r="FM49" s="58"/>
      <c r="FN49" s="58"/>
      <c r="FO49" s="58"/>
      <c r="FP49" s="58"/>
      <c r="FQ49" s="58"/>
      <c r="FR49" s="58"/>
      <c r="FS49" s="58"/>
      <c r="FT49" s="58"/>
      <c r="FU49" s="58"/>
      <c r="FV49" s="58"/>
    </row>
    <row r="50" spans="1:178">
      <c r="A50" s="463" t="s">
        <v>333</v>
      </c>
      <c r="B50" s="52" t="s">
        <v>312</v>
      </c>
      <c r="C50" s="362" t="s">
        <v>326</v>
      </c>
      <c r="D50" s="362"/>
      <c r="E50" s="58"/>
      <c r="F50" s="382" t="s">
        <v>334</v>
      </c>
      <c r="G50" s="464">
        <f t="shared" ref="G50:AL50" si="59">G46*$CO$4+G47*$CP$4+G48*$CQ$4+G49*$CR$4</f>
        <v>5865574183.2744513</v>
      </c>
      <c r="H50" s="464">
        <f t="shared" si="59"/>
        <v>5820273813.4492855</v>
      </c>
      <c r="I50" s="464">
        <f t="shared" si="59"/>
        <v>5209176916.6893139</v>
      </c>
      <c r="J50" s="464">
        <f t="shared" si="59"/>
        <v>5045020885.6176586</v>
      </c>
      <c r="K50" s="464">
        <f t="shared" si="59"/>
        <v>5015086140.4263668</v>
      </c>
      <c r="L50" s="464">
        <f t="shared" si="59"/>
        <v>5145097655.9621944</v>
      </c>
      <c r="M50" s="464">
        <f t="shared" si="59"/>
        <v>5073197566.355648</v>
      </c>
      <c r="N50" s="464">
        <f t="shared" si="59"/>
        <v>5015488480.5386963</v>
      </c>
      <c r="O50" s="464">
        <f t="shared" si="59"/>
        <v>4882410154.8298454</v>
      </c>
      <c r="P50" s="464">
        <f t="shared" si="59"/>
        <v>4812047170.3354778</v>
      </c>
      <c r="Q50" s="464">
        <f t="shared" si="59"/>
        <v>4773096228.8250742</v>
      </c>
      <c r="R50" s="464">
        <f t="shared" si="59"/>
        <v>4600371655.6451368</v>
      </c>
      <c r="S50" s="464">
        <f t="shared" si="59"/>
        <v>4714211596.9441671</v>
      </c>
      <c r="T50" s="464">
        <f t="shared" si="59"/>
        <v>4720025362.3365641</v>
      </c>
      <c r="U50" s="464">
        <f t="shared" si="59"/>
        <v>4211663261.5575075</v>
      </c>
      <c r="V50" s="464">
        <f t="shared" si="59"/>
        <v>4669060019.2952251</v>
      </c>
      <c r="W50" s="464">
        <f t="shared" si="59"/>
        <v>3993097761.6329975</v>
      </c>
      <c r="X50" s="464">
        <f t="shared" si="59"/>
        <v>4085924805.9606848</v>
      </c>
      <c r="Y50" s="464">
        <f t="shared" si="59"/>
        <v>3808451335.598031</v>
      </c>
      <c r="Z50" s="464">
        <f t="shared" si="59"/>
        <v>4105933361.430685</v>
      </c>
      <c r="AA50" s="464">
        <f t="shared" si="59"/>
        <v>3960007046.1394444</v>
      </c>
      <c r="AB50" s="464">
        <f t="shared" si="59"/>
        <v>4216270528.686173</v>
      </c>
      <c r="AC50" s="464">
        <f t="shared" si="59"/>
        <v>3790548763.0824051</v>
      </c>
      <c r="AD50" s="464">
        <f t="shared" si="59"/>
        <v>3815785002.2194037</v>
      </c>
      <c r="AE50" s="464">
        <f t="shared" si="59"/>
        <v>3303819051.4690342</v>
      </c>
      <c r="AF50" s="464">
        <f t="shared" si="59"/>
        <v>4029787222.2876463</v>
      </c>
      <c r="AG50" s="464">
        <f t="shared" si="59"/>
        <v>4194548077.0903158</v>
      </c>
      <c r="AH50" s="464">
        <f t="shared" si="59"/>
        <v>5074922731.2709484</v>
      </c>
      <c r="AI50" s="464">
        <f t="shared" si="59"/>
        <v>5198853887.489809</v>
      </c>
      <c r="AJ50" s="464">
        <f t="shared" si="59"/>
        <v>5335482276.0364761</v>
      </c>
      <c r="AK50" s="464">
        <f t="shared" si="59"/>
        <v>5498095436.890419</v>
      </c>
      <c r="AL50" s="464">
        <f t="shared" si="59"/>
        <v>4863457684.9503279</v>
      </c>
      <c r="AM50" s="464">
        <f t="shared" ref="AM50:BR50" si="60">AM46*$CO$4+AM47*$CP$4+AM48*$CQ$4+AM49*$CR$4</f>
        <v>4575315207.6878948</v>
      </c>
      <c r="AN50" s="464">
        <f t="shared" si="60"/>
        <v>4602662419.70891</v>
      </c>
      <c r="AO50" s="464">
        <f t="shared" si="60"/>
        <v>4355291642.5249863</v>
      </c>
      <c r="AP50" s="464">
        <f t="shared" si="60"/>
        <v>4129362025.3193226</v>
      </c>
      <c r="AQ50" s="464">
        <f t="shared" si="60"/>
        <v>6178176737.1893587</v>
      </c>
      <c r="AR50" s="464">
        <f t="shared" si="60"/>
        <v>5978277043.8294525</v>
      </c>
      <c r="AS50" s="464">
        <f t="shared" si="60"/>
        <v>5896833134.1154099</v>
      </c>
      <c r="AT50" s="464">
        <f t="shared" si="60"/>
        <v>6018218841.6087494</v>
      </c>
      <c r="AU50" s="376">
        <f t="shared" si="60"/>
        <v>5652297659.7882071</v>
      </c>
      <c r="AV50" s="376">
        <f t="shared" si="60"/>
        <v>5938740230.337965</v>
      </c>
      <c r="AW50" s="376">
        <f t="shared" si="60"/>
        <v>6013219807.0803194</v>
      </c>
      <c r="AX50" s="376">
        <f t="shared" si="60"/>
        <v>6158750082.1766682</v>
      </c>
      <c r="AY50" s="376">
        <f t="shared" si="60"/>
        <v>6753115249.5705585</v>
      </c>
      <c r="AZ50" s="376">
        <f t="shared" si="60"/>
        <v>7118038576.6812658</v>
      </c>
      <c r="BA50" s="376">
        <f t="shared" si="60"/>
        <v>7384894901.635294</v>
      </c>
      <c r="BB50" s="376">
        <f t="shared" si="60"/>
        <v>7778675782.1568642</v>
      </c>
      <c r="BC50" s="376">
        <f t="shared" si="60"/>
        <v>7338962067.0605879</v>
      </c>
      <c r="BD50" s="376">
        <f t="shared" si="60"/>
        <v>5738225061.6714478</v>
      </c>
      <c r="BE50" s="376">
        <f t="shared" si="60"/>
        <v>4988380534.2075262</v>
      </c>
      <c r="BF50" s="376">
        <f t="shared" si="60"/>
        <v>5022739878.0982075</v>
      </c>
      <c r="BG50" s="376">
        <f t="shared" si="60"/>
        <v>5331371796.42696</v>
      </c>
      <c r="BH50" s="376">
        <f t="shared" si="60"/>
        <v>5589835860.9681931</v>
      </c>
      <c r="BI50" s="376">
        <f t="shared" si="60"/>
        <v>5964246674.9713125</v>
      </c>
      <c r="BJ50" s="376">
        <f t="shared" si="60"/>
        <v>5958196363.5134048</v>
      </c>
      <c r="BK50" s="376">
        <f t="shared" si="60"/>
        <v>5102701431.9134417</v>
      </c>
      <c r="BL50" s="376">
        <f t="shared" si="60"/>
        <v>5080292825.4896526</v>
      </c>
      <c r="BM50" s="376">
        <f t="shared" si="60"/>
        <v>4978366927.8897991</v>
      </c>
      <c r="BN50" s="376">
        <f t="shared" si="60"/>
        <v>4966148196.7766018</v>
      </c>
      <c r="BO50" s="376">
        <f t="shared" si="60"/>
        <v>5288887021.8525772</v>
      </c>
      <c r="BP50" s="376">
        <f t="shared" si="60"/>
        <v>5333834911.1779938</v>
      </c>
      <c r="BQ50" s="376">
        <f t="shared" si="60"/>
        <v>5612911916.7418699</v>
      </c>
      <c r="BR50" s="376">
        <f t="shared" si="60"/>
        <v>5970600812.9051151</v>
      </c>
      <c r="BS50" s="376">
        <f t="shared" ref="BS50:CL50" si="61">BS46*$CO$4+BS47*$CP$4+BS48*$CQ$4+BS49*$CR$4</f>
        <v>5483088672.9042568</v>
      </c>
      <c r="BT50" s="376">
        <f t="shared" si="61"/>
        <v>4318618210.6591778</v>
      </c>
      <c r="BU50" s="376">
        <f t="shared" si="61"/>
        <v>5027060424.7329636</v>
      </c>
      <c r="BV50" s="376">
        <f t="shared" si="61"/>
        <v>5003009762.5413418</v>
      </c>
      <c r="BW50" s="376">
        <f t="shared" si="61"/>
        <v>5358374050.7268009</v>
      </c>
      <c r="BX50" s="376">
        <f t="shared" si="61"/>
        <v>4481136823.4408646</v>
      </c>
      <c r="BY50" s="376">
        <f t="shared" si="61"/>
        <v>4538113004.2209625</v>
      </c>
      <c r="BZ50" s="376">
        <f t="shared" si="61"/>
        <v>4462475507.9961872</v>
      </c>
      <c r="CA50" s="376">
        <f t="shared" si="61"/>
        <v>3989781303.8524714</v>
      </c>
      <c r="CB50" s="376">
        <f t="shared" si="61"/>
        <v>4513451113.577343</v>
      </c>
      <c r="CC50" s="376">
        <f t="shared" si="61"/>
        <v>4953425657.1573496</v>
      </c>
      <c r="CD50" s="376">
        <f t="shared" si="61"/>
        <v>5581229069.3444729</v>
      </c>
      <c r="CE50" s="376">
        <f t="shared" si="61"/>
        <v>6079948336.9101601</v>
      </c>
      <c r="CF50" s="376">
        <f t="shared" si="61"/>
        <v>6369746434.4960642</v>
      </c>
      <c r="CG50" s="376">
        <f t="shared" si="61"/>
        <v>6026728467.4684181</v>
      </c>
      <c r="CH50" s="376">
        <f t="shared" si="61"/>
        <v>5962436626.7826633</v>
      </c>
      <c r="CI50" s="376">
        <f t="shared" si="61"/>
        <v>6364063159.7277718</v>
      </c>
      <c r="CJ50" s="376">
        <f t="shared" si="61"/>
        <v>6951363962.7886696</v>
      </c>
      <c r="CK50" s="376">
        <f t="shared" si="61"/>
        <v>6897427828.2551594</v>
      </c>
      <c r="CL50" s="382">
        <f t="shared" si="61"/>
        <v>6997633151.0164948</v>
      </c>
      <c r="CM50" s="319">
        <f t="shared" si="24"/>
        <v>5250041300.666584</v>
      </c>
      <c r="CN50" s="58"/>
      <c r="CO50" s="58"/>
      <c r="CP50" s="58"/>
      <c r="CQ50" s="58"/>
      <c r="CR50" s="58"/>
      <c r="CS50" s="58"/>
      <c r="CT50" s="58"/>
      <c r="CU50" s="58"/>
      <c r="CV50" s="58"/>
      <c r="CW50" s="58"/>
      <c r="CX50" s="58"/>
      <c r="CY50" s="58"/>
      <c r="CZ50" s="58"/>
      <c r="DA50" s="58"/>
      <c r="DB50" s="58"/>
      <c r="DC50" s="58"/>
      <c r="DD50" s="58"/>
      <c r="DE50" s="58"/>
      <c r="DF50" s="58"/>
      <c r="DG50" s="58"/>
      <c r="DH50" s="58"/>
      <c r="DI50" s="58"/>
      <c r="DJ50" s="58"/>
      <c r="DK50" s="58"/>
      <c r="DL50" s="58"/>
      <c r="DM50" s="58"/>
      <c r="DN50" s="58"/>
      <c r="DO50" s="58"/>
      <c r="DP50" s="58"/>
      <c r="DQ50" s="58"/>
      <c r="DR50" s="58"/>
      <c r="DS50" s="58"/>
      <c r="DT50" s="58"/>
      <c r="DU50" s="58"/>
      <c r="DV50" s="58"/>
      <c r="DW50" s="58"/>
      <c r="DX50" s="58"/>
      <c r="DY50" s="58"/>
      <c r="DZ50" s="58"/>
      <c r="EA50" s="58"/>
      <c r="EB50" s="58"/>
      <c r="EC50" s="58"/>
      <c r="ED50" s="58"/>
      <c r="EE50" s="58"/>
      <c r="EF50" s="58"/>
      <c r="EG50" s="58"/>
      <c r="EH50" s="58"/>
      <c r="EI50" s="58"/>
      <c r="EJ50" s="58"/>
      <c r="EK50" s="58"/>
      <c r="EL50" s="58"/>
      <c r="EM50" s="58"/>
      <c r="EN50" s="58"/>
      <c r="EO50" s="58"/>
      <c r="EP50" s="58"/>
      <c r="EQ50" s="58"/>
      <c r="ER50" s="58"/>
      <c r="ES50" s="58"/>
      <c r="ET50" s="58"/>
      <c r="EU50" s="58"/>
      <c r="EV50" s="58"/>
      <c r="EW50" s="58"/>
      <c r="EX50" s="58"/>
      <c r="EY50" s="58"/>
      <c r="EZ50" s="58"/>
      <c r="FA50" s="58"/>
      <c r="FB50" s="58"/>
      <c r="FC50" s="58"/>
      <c r="FD50" s="58"/>
      <c r="FE50" s="58"/>
      <c r="FF50" s="58"/>
      <c r="FG50" s="58"/>
      <c r="FH50" s="58"/>
      <c r="FI50" s="58"/>
      <c r="FJ50" s="58"/>
      <c r="FK50" s="58"/>
      <c r="FL50" s="58"/>
      <c r="FM50" s="58"/>
      <c r="FN50" s="58"/>
      <c r="FO50" s="58"/>
      <c r="FP50" s="58"/>
      <c r="FQ50" s="58"/>
      <c r="FR50" s="58"/>
      <c r="FS50" s="58"/>
      <c r="FT50" s="58"/>
      <c r="FU50" s="58"/>
      <c r="FV50" s="58"/>
    </row>
    <row r="51" spans="1:178">
      <c r="A51" s="463" t="s">
        <v>335</v>
      </c>
      <c r="B51" s="52" t="s">
        <v>312</v>
      </c>
      <c r="C51" s="362" t="s">
        <v>326</v>
      </c>
      <c r="D51" s="362"/>
      <c r="E51" s="58"/>
      <c r="F51" s="382" t="s">
        <v>336</v>
      </c>
      <c r="G51" s="464">
        <f t="shared" ref="G51:AL51" si="62">$CO$5*G46+G47*$CP$5+G48*$CQ$5+G49*$CR$5</f>
        <v>3039746650.0588822</v>
      </c>
      <c r="H51" s="464">
        <f t="shared" si="62"/>
        <v>3036917853.217381</v>
      </c>
      <c r="I51" s="464">
        <f t="shared" si="62"/>
        <v>2777531416.6440201</v>
      </c>
      <c r="J51" s="464">
        <f t="shared" si="62"/>
        <v>2711577447.7156754</v>
      </c>
      <c r="K51" s="464">
        <f t="shared" si="62"/>
        <v>2683601359.5736332</v>
      </c>
      <c r="L51" s="464">
        <f t="shared" si="62"/>
        <v>2753635677.3711386</v>
      </c>
      <c r="M51" s="464">
        <f t="shared" si="62"/>
        <v>2719949100.3110189</v>
      </c>
      <c r="N51" s="464">
        <f t="shared" si="62"/>
        <v>2691109019.4613042</v>
      </c>
      <c r="O51" s="464">
        <f t="shared" si="62"/>
        <v>2622973178.5034876</v>
      </c>
      <c r="P51" s="464">
        <f t="shared" si="62"/>
        <v>2586441996.3311896</v>
      </c>
      <c r="Q51" s="464">
        <f t="shared" si="62"/>
        <v>2568172104.5082588</v>
      </c>
      <c r="R51" s="464">
        <f t="shared" si="62"/>
        <v>2472957511.0215302</v>
      </c>
      <c r="S51" s="464">
        <f t="shared" si="62"/>
        <v>2517971069.7224994</v>
      </c>
      <c r="T51" s="464">
        <f t="shared" si="62"/>
        <v>2548405554.3301029</v>
      </c>
      <c r="U51" s="464">
        <f t="shared" si="62"/>
        <v>2201463988.442492</v>
      </c>
      <c r="V51" s="464">
        <f t="shared" si="62"/>
        <v>2406008314.0381074</v>
      </c>
      <c r="W51" s="464">
        <f t="shared" si="62"/>
        <v>1941721738.367002</v>
      </c>
      <c r="X51" s="464">
        <f t="shared" si="62"/>
        <v>2126375694.0393155</v>
      </c>
      <c r="Y51" s="464">
        <f t="shared" si="62"/>
        <v>2181417581.0686359</v>
      </c>
      <c r="Z51" s="464">
        <f t="shared" si="62"/>
        <v>2327388471.9026484</v>
      </c>
      <c r="AA51" s="464">
        <f t="shared" si="62"/>
        <v>2247894453.8605552</v>
      </c>
      <c r="AB51" s="464">
        <f t="shared" si="62"/>
        <v>2427824387.9804935</v>
      </c>
      <c r="AC51" s="464">
        <f t="shared" si="62"/>
        <v>2075056736.9175954</v>
      </c>
      <c r="AD51" s="464">
        <f t="shared" si="62"/>
        <v>2124051164.447263</v>
      </c>
      <c r="AE51" s="464">
        <f t="shared" si="62"/>
        <v>1865333448.530966</v>
      </c>
      <c r="AF51" s="464">
        <f t="shared" si="62"/>
        <v>2230767694.3790202</v>
      </c>
      <c r="AG51" s="464">
        <f t="shared" si="62"/>
        <v>2328676339.5763512</v>
      </c>
      <c r="AH51" s="464">
        <f t="shared" si="62"/>
        <v>2864505268.7290521</v>
      </c>
      <c r="AI51" s="464">
        <f t="shared" si="62"/>
        <v>2892291279.1768579</v>
      </c>
      <c r="AJ51" s="464">
        <f t="shared" si="62"/>
        <v>2829679057.2968569</v>
      </c>
      <c r="AK51" s="464">
        <f t="shared" si="62"/>
        <v>2919440646.442915</v>
      </c>
      <c r="AL51" s="464">
        <f t="shared" si="62"/>
        <v>2601813315.0496726</v>
      </c>
      <c r="AM51" s="464">
        <f t="shared" ref="AM51:BR51" si="63">$CO$5*AM46+AM47*$CP$5+AM48*$CQ$5+AM49*$CR$5</f>
        <v>2443057875.6454391</v>
      </c>
      <c r="AN51" s="464">
        <f t="shared" si="63"/>
        <v>2441109663.6244226</v>
      </c>
      <c r="AO51" s="464">
        <f t="shared" si="63"/>
        <v>2455198357.4750128</v>
      </c>
      <c r="AP51" s="464">
        <f t="shared" si="63"/>
        <v>2211967058.0140114</v>
      </c>
      <c r="AQ51" s="464">
        <f t="shared" si="63"/>
        <v>3231264596.1439748</v>
      </c>
      <c r="AR51" s="464">
        <f t="shared" si="63"/>
        <v>3068597789.5038805</v>
      </c>
      <c r="AS51" s="464">
        <f t="shared" si="63"/>
        <v>2978248949.2179251</v>
      </c>
      <c r="AT51" s="464">
        <f t="shared" si="63"/>
        <v>3097555758.1031346</v>
      </c>
      <c r="AU51" s="376">
        <f t="shared" si="63"/>
        <v>2859425205.4915657</v>
      </c>
      <c r="AV51" s="376">
        <f t="shared" si="63"/>
        <v>2911789520.706151</v>
      </c>
      <c r="AW51" s="376">
        <f t="shared" si="63"/>
        <v>2993344230.4775147</v>
      </c>
      <c r="AX51" s="376">
        <f t="shared" si="63"/>
        <v>3323704234.9436264</v>
      </c>
      <c r="AY51" s="376">
        <f t="shared" si="63"/>
        <v>3394101976.1147513</v>
      </c>
      <c r="AZ51" s="376">
        <f t="shared" si="63"/>
        <v>3509715948.1301737</v>
      </c>
      <c r="BA51" s="376">
        <f t="shared" si="63"/>
        <v>3639573341.0752177</v>
      </c>
      <c r="BB51" s="376">
        <f t="shared" si="63"/>
        <v>3890692693.4882402</v>
      </c>
      <c r="BC51" s="376">
        <f t="shared" si="63"/>
        <v>4071044727.8123894</v>
      </c>
      <c r="BD51" s="376">
        <f t="shared" si="63"/>
        <v>3076610294.6793108</v>
      </c>
      <c r="BE51" s="376">
        <f t="shared" si="63"/>
        <v>2590180220.8867836</v>
      </c>
      <c r="BF51" s="376">
        <f t="shared" si="63"/>
        <v>2602321828.9666276</v>
      </c>
      <c r="BG51" s="376">
        <f t="shared" si="63"/>
        <v>2839128737.5446415</v>
      </c>
      <c r="BH51" s="376">
        <f t="shared" si="63"/>
        <v>3002738999.3044791</v>
      </c>
      <c r="BI51" s="376">
        <f t="shared" si="63"/>
        <v>3218355934.8250585</v>
      </c>
      <c r="BJ51" s="376">
        <f t="shared" si="63"/>
        <v>3210020584.3042979</v>
      </c>
      <c r="BK51" s="376">
        <f t="shared" si="63"/>
        <v>2634321263.1969767</v>
      </c>
      <c r="BL51" s="376">
        <f t="shared" si="63"/>
        <v>2643729703.7199879</v>
      </c>
      <c r="BM51" s="376">
        <f t="shared" si="63"/>
        <v>2540999583.3432732</v>
      </c>
      <c r="BN51" s="376">
        <f t="shared" si="63"/>
        <v>2581255435.6023235</v>
      </c>
      <c r="BO51" s="376">
        <f t="shared" si="63"/>
        <v>2832795407.6365857</v>
      </c>
      <c r="BP51" s="376">
        <f t="shared" si="63"/>
        <v>2858375743.1174827</v>
      </c>
      <c r="BQ51" s="376">
        <f t="shared" si="63"/>
        <v>3044001011.9146447</v>
      </c>
      <c r="BR51" s="376">
        <f t="shared" si="63"/>
        <v>3211323291.6920729</v>
      </c>
      <c r="BS51" s="376">
        <f t="shared" ref="BS51:CL51" si="64">$CO$5*BS46+BS47*$CP$5+BS48*$CQ$5+BS49*$CR$5</f>
        <v>2879729494.1890535</v>
      </c>
      <c r="BT51" s="376">
        <f t="shared" si="64"/>
        <v>2090239899.9455748</v>
      </c>
      <c r="BU51" s="376">
        <f t="shared" si="64"/>
        <v>2820666461.0852084</v>
      </c>
      <c r="BV51" s="376">
        <f t="shared" si="64"/>
        <v>2727677481.1017714</v>
      </c>
      <c r="BW51" s="376">
        <f t="shared" si="64"/>
        <v>2963422849.5365362</v>
      </c>
      <c r="BX51" s="376">
        <f t="shared" si="64"/>
        <v>2339920237.2752762</v>
      </c>
      <c r="BY51" s="376">
        <f t="shared" si="64"/>
        <v>2364527206.00071</v>
      </c>
      <c r="BZ51" s="376">
        <f t="shared" si="64"/>
        <v>2288372653.5340338</v>
      </c>
      <c r="CA51" s="376">
        <f t="shared" si="64"/>
        <v>2036713290.0276623</v>
      </c>
      <c r="CB51" s="376">
        <f t="shared" si="64"/>
        <v>2403530515.2202134</v>
      </c>
      <c r="CC51" s="376">
        <f t="shared" si="64"/>
        <v>2673093336.5252085</v>
      </c>
      <c r="CD51" s="376">
        <f t="shared" si="64"/>
        <v>3097120900.0059996</v>
      </c>
      <c r="CE51" s="376">
        <f t="shared" si="64"/>
        <v>3409882121.8589988</v>
      </c>
      <c r="CF51" s="376">
        <f t="shared" si="64"/>
        <v>3603283031.9485068</v>
      </c>
      <c r="CG51" s="376">
        <f t="shared" si="64"/>
        <v>3398178088.1751385</v>
      </c>
      <c r="CH51" s="376">
        <f t="shared" si="64"/>
        <v>3387163892.5529137</v>
      </c>
      <c r="CI51" s="376">
        <f t="shared" si="64"/>
        <v>3660075582.6506376</v>
      </c>
      <c r="CJ51" s="376">
        <f t="shared" si="64"/>
        <v>4020706564.4770246</v>
      </c>
      <c r="CK51" s="376">
        <f t="shared" si="64"/>
        <v>3982795340.7170029</v>
      </c>
      <c r="CL51" s="382">
        <f t="shared" si="64"/>
        <v>4053475486.6312051</v>
      </c>
      <c r="CM51" s="319">
        <f t="shared" si="24"/>
        <v>2808688379.9901977</v>
      </c>
      <c r="CN51" s="58"/>
      <c r="CO51" s="58"/>
      <c r="CP51" s="58"/>
      <c r="CQ51" s="58"/>
      <c r="CR51" s="58"/>
      <c r="CS51" s="58"/>
      <c r="CT51" s="58"/>
      <c r="CU51" s="58"/>
      <c r="CV51" s="58"/>
      <c r="CW51" s="58"/>
      <c r="CX51" s="58"/>
      <c r="CY51" s="58"/>
      <c r="CZ51" s="58"/>
      <c r="DA51" s="58"/>
      <c r="DB51" s="58"/>
      <c r="DC51" s="58"/>
      <c r="DD51" s="58"/>
      <c r="DE51" s="58"/>
      <c r="DF51" s="58"/>
      <c r="DG51" s="58"/>
      <c r="DH51" s="58"/>
      <c r="DI51" s="58"/>
      <c r="DJ51" s="58"/>
      <c r="DK51" s="58"/>
      <c r="DL51" s="58"/>
      <c r="DM51" s="58"/>
      <c r="DN51" s="58"/>
      <c r="DO51" s="58"/>
      <c r="DP51" s="58"/>
      <c r="DQ51" s="58"/>
      <c r="DR51" s="58"/>
      <c r="DS51" s="58"/>
      <c r="DT51" s="58"/>
      <c r="DU51" s="58"/>
      <c r="DV51" s="58"/>
      <c r="DW51" s="58"/>
      <c r="DX51" s="58"/>
      <c r="DY51" s="58"/>
      <c r="DZ51" s="58"/>
      <c r="EA51" s="58"/>
      <c r="EB51" s="58"/>
      <c r="EC51" s="58"/>
      <c r="ED51" s="58"/>
      <c r="EE51" s="58"/>
      <c r="EF51" s="58"/>
      <c r="EG51" s="58"/>
      <c r="EH51" s="58"/>
      <c r="EI51" s="58"/>
      <c r="EJ51" s="58"/>
      <c r="EK51" s="58"/>
      <c r="EL51" s="58"/>
      <c r="EM51" s="58"/>
      <c r="EN51" s="58"/>
      <c r="EO51" s="58"/>
      <c r="EP51" s="58"/>
      <c r="EQ51" s="58"/>
      <c r="ER51" s="58"/>
      <c r="ES51" s="58"/>
      <c r="ET51" s="58"/>
      <c r="EU51" s="58"/>
      <c r="EV51" s="58"/>
      <c r="EW51" s="58"/>
      <c r="EX51" s="58"/>
      <c r="EY51" s="58"/>
      <c r="EZ51" s="58"/>
      <c r="FA51" s="58"/>
      <c r="FB51" s="58"/>
      <c r="FC51" s="58"/>
      <c r="FD51" s="58"/>
      <c r="FE51" s="58"/>
      <c r="FF51" s="58"/>
      <c r="FG51" s="58"/>
      <c r="FH51" s="58"/>
      <c r="FI51" s="58"/>
      <c r="FJ51" s="58"/>
      <c r="FK51" s="58"/>
      <c r="FL51" s="58"/>
      <c r="FM51" s="58"/>
      <c r="FN51" s="58"/>
      <c r="FO51" s="58"/>
      <c r="FP51" s="58"/>
      <c r="FQ51" s="58"/>
      <c r="FR51" s="58"/>
      <c r="FS51" s="58"/>
      <c r="FT51" s="58"/>
      <c r="FU51" s="58"/>
      <c r="FV51" s="58"/>
    </row>
    <row r="52" spans="1:178" s="314" customFormat="1">
      <c r="A52" s="463" t="s">
        <v>337</v>
      </c>
      <c r="B52" s="52" t="s">
        <v>312</v>
      </c>
      <c r="C52" s="463"/>
      <c r="D52" s="463"/>
      <c r="E52" s="17"/>
      <c r="F52" s="382" t="s">
        <v>338</v>
      </c>
      <c r="G52" s="465">
        <f>G50/(G2*G12+G13*G3+G4*G14+G15*G5)</f>
        <v>0.6586595017800071</v>
      </c>
      <c r="H52" s="465">
        <f t="shared" ref="H52:BR52" si="65">H50/(H2*H12+H13*H3+H4*H14+H15*H5)</f>
        <v>0.65712406736702123</v>
      </c>
      <c r="I52" s="465">
        <f t="shared" si="65"/>
        <v>0.65223076883229714</v>
      </c>
      <c r="J52" s="465">
        <f t="shared" si="65"/>
        <v>0.65041667349682175</v>
      </c>
      <c r="K52" s="465">
        <f t="shared" si="65"/>
        <v>0.65142092602490576</v>
      </c>
      <c r="L52" s="465">
        <f t="shared" si="65"/>
        <v>0.65138262539506686</v>
      </c>
      <c r="M52" s="465">
        <f t="shared" si="65"/>
        <v>0.65098191826095675</v>
      </c>
      <c r="N52" s="465">
        <f t="shared" si="65"/>
        <v>0.65080451918485382</v>
      </c>
      <c r="O52" s="465">
        <f t="shared" si="65"/>
        <v>0.65052109106084011</v>
      </c>
      <c r="P52" s="465">
        <f t="shared" si="65"/>
        <v>0.6504094365665618</v>
      </c>
      <c r="Q52" s="465">
        <f t="shared" si="65"/>
        <v>0.65017324147554079</v>
      </c>
      <c r="R52" s="465">
        <f t="shared" si="65"/>
        <v>0.65038280380398017</v>
      </c>
      <c r="S52" s="465">
        <f t="shared" si="65"/>
        <v>0.65183801546829023</v>
      </c>
      <c r="T52" s="465">
        <f t="shared" si="65"/>
        <v>0.64938711208129474</v>
      </c>
      <c r="U52" s="465">
        <f t="shared" si="65"/>
        <v>0.6567253536965928</v>
      </c>
      <c r="V52" s="465">
        <f t="shared" si="65"/>
        <v>0.65993143801841603</v>
      </c>
      <c r="W52" s="465">
        <f t="shared" si="65"/>
        <v>0.67282547710726459</v>
      </c>
      <c r="X52" s="465">
        <f t="shared" si="65"/>
        <v>0.65771525475316028</v>
      </c>
      <c r="Y52" s="465">
        <f t="shared" si="65"/>
        <v>0.63581547252246318</v>
      </c>
      <c r="Z52" s="465">
        <f t="shared" si="65"/>
        <v>0.63822912451797154</v>
      </c>
      <c r="AA52" s="465">
        <f t="shared" si="65"/>
        <v>0.63789785423293921</v>
      </c>
      <c r="AB52" s="465">
        <f t="shared" si="65"/>
        <v>0.63458914744123951</v>
      </c>
      <c r="AC52" s="465">
        <f t="shared" si="65"/>
        <v>0.64623315752864818</v>
      </c>
      <c r="AD52" s="465">
        <f t="shared" si="65"/>
        <v>0.64240576594232157</v>
      </c>
      <c r="AE52" s="465">
        <f t="shared" si="65"/>
        <v>0.63914133921741223</v>
      </c>
      <c r="AF52" s="465">
        <f t="shared" si="65"/>
        <v>0.64367891918968145</v>
      </c>
      <c r="AG52" s="465">
        <f t="shared" si="65"/>
        <v>0.64301759515943624</v>
      </c>
      <c r="AH52" s="465">
        <f t="shared" si="65"/>
        <v>0.63920508269247467</v>
      </c>
      <c r="AI52" s="465">
        <f t="shared" si="65"/>
        <v>0.64253622699882873</v>
      </c>
      <c r="AJ52" s="465">
        <f t="shared" si="65"/>
        <v>0.65344480754531842</v>
      </c>
      <c r="AK52" s="465">
        <f t="shared" si="65"/>
        <v>0.6531715911235132</v>
      </c>
      <c r="AL52" s="465">
        <f t="shared" si="65"/>
        <v>0.65147771393032183</v>
      </c>
      <c r="AM52" s="465">
        <f t="shared" si="65"/>
        <v>0.65190538510313512</v>
      </c>
      <c r="AN52" s="465">
        <f t="shared" si="65"/>
        <v>0.6534371591323247</v>
      </c>
      <c r="AO52" s="465">
        <f t="shared" si="65"/>
        <v>0.63949754606863618</v>
      </c>
      <c r="AP52" s="465">
        <f t="shared" si="65"/>
        <v>0.65118242107515956</v>
      </c>
      <c r="AQ52" s="465">
        <f t="shared" si="65"/>
        <v>0.65659336386985212</v>
      </c>
      <c r="AR52" s="465">
        <f t="shared" si="65"/>
        <v>0.66081129162994601</v>
      </c>
      <c r="AS52" s="465">
        <f t="shared" si="65"/>
        <v>0.66442575727712672</v>
      </c>
      <c r="AT52" s="465">
        <f t="shared" si="65"/>
        <v>0.6601982942622302</v>
      </c>
      <c r="AU52" s="466">
        <f t="shared" si="65"/>
        <v>0.66406034938526171</v>
      </c>
      <c r="AV52" s="466">
        <f t="shared" si="65"/>
        <v>0.67100392828320343</v>
      </c>
      <c r="AW52" s="466">
        <f t="shared" si="65"/>
        <v>0.66764859296007706</v>
      </c>
      <c r="AX52" s="466">
        <f t="shared" si="65"/>
        <v>0.64948903271352698</v>
      </c>
      <c r="AY52" s="466">
        <f t="shared" si="65"/>
        <v>0.66551401230246898</v>
      </c>
      <c r="AZ52" s="466">
        <f t="shared" si="65"/>
        <v>0.66975940779057053</v>
      </c>
      <c r="BA52" s="466">
        <f t="shared" si="65"/>
        <v>0.66986404596142413</v>
      </c>
      <c r="BB52" s="466">
        <f t="shared" si="65"/>
        <v>0.66658926731052981</v>
      </c>
      <c r="BC52" s="466">
        <f t="shared" si="65"/>
        <v>0.64320400495802588</v>
      </c>
      <c r="BD52" s="466">
        <f t="shared" si="65"/>
        <v>0.65097359504704444</v>
      </c>
      <c r="BE52" s="466">
        <f t="shared" si="65"/>
        <v>0.65822267517672617</v>
      </c>
      <c r="BF52" s="466">
        <f t="shared" si="65"/>
        <v>0.65871465321316647</v>
      </c>
      <c r="BG52" s="466">
        <f t="shared" si="65"/>
        <v>0.65251471121750626</v>
      </c>
      <c r="BH52" s="466">
        <f t="shared" si="65"/>
        <v>0.6505425849488391</v>
      </c>
      <c r="BI52" s="466">
        <f t="shared" si="65"/>
        <v>0.64951593011423725</v>
      </c>
      <c r="BJ52" s="466">
        <f t="shared" si="65"/>
        <v>0.64987514992559436</v>
      </c>
      <c r="BK52" s="466">
        <f t="shared" si="65"/>
        <v>0.6595174439824516</v>
      </c>
      <c r="BL52" s="466">
        <f t="shared" si="65"/>
        <v>0.65772630857531855</v>
      </c>
      <c r="BM52" s="466">
        <f t="shared" si="65"/>
        <v>0.66207265205821386</v>
      </c>
      <c r="BN52" s="466">
        <f t="shared" si="65"/>
        <v>0.65799425056206817</v>
      </c>
      <c r="BO52" s="466">
        <f t="shared" si="65"/>
        <v>0.65120583915582098</v>
      </c>
      <c r="BP52" s="466">
        <f t="shared" si="65"/>
        <v>0.65108615198771391</v>
      </c>
      <c r="BQ52" s="466">
        <f t="shared" si="65"/>
        <v>0.64837338240537778</v>
      </c>
      <c r="BR52" s="466">
        <f t="shared" si="65"/>
        <v>0.65025595342437725</v>
      </c>
      <c r="BS52" s="466">
        <f t="shared" ref="BS52:CL52" si="66">BS50/(BS2*BS12+BS13*BS3+BS4*BS14+BS15*BS5)</f>
        <v>0.65565083006103797</v>
      </c>
      <c r="BT52" s="466">
        <f t="shared" si="66"/>
        <v>0.67385143127340419</v>
      </c>
      <c r="BU52" s="466">
        <f t="shared" si="66"/>
        <v>0.64057535358646256</v>
      </c>
      <c r="BV52" s="466">
        <f t="shared" si="66"/>
        <v>0.64716235502287078</v>
      </c>
      <c r="BW52" s="466">
        <f t="shared" si="66"/>
        <v>0.64389627804509852</v>
      </c>
      <c r="BX52" s="466">
        <f t="shared" si="66"/>
        <v>0.65695636080346631</v>
      </c>
      <c r="BY52" s="466">
        <f t="shared" si="66"/>
        <v>0.65744597226736012</v>
      </c>
      <c r="BZ52" s="466">
        <f t="shared" si="66"/>
        <v>0.66102442259413441</v>
      </c>
      <c r="CA52" s="466">
        <f t="shared" si="66"/>
        <v>0.6620401365503702</v>
      </c>
      <c r="CB52" s="466">
        <f t="shared" si="66"/>
        <v>0.65251743546439889</v>
      </c>
      <c r="CC52" s="466">
        <f t="shared" si="66"/>
        <v>0.64950020596035085</v>
      </c>
      <c r="CD52" s="466">
        <f t="shared" si="66"/>
        <v>0.64312099524170241</v>
      </c>
      <c r="CE52" s="466">
        <f t="shared" si="66"/>
        <v>0.64068039606460325</v>
      </c>
      <c r="CF52" s="466">
        <f t="shared" si="66"/>
        <v>0.6386972439946984</v>
      </c>
      <c r="CG52" s="466">
        <f t="shared" si="66"/>
        <v>0.63944702601424341</v>
      </c>
      <c r="CH52" s="466">
        <f t="shared" si="66"/>
        <v>0.63772100363560558</v>
      </c>
      <c r="CI52" s="466">
        <f t="shared" si="66"/>
        <v>0.63487381043748214</v>
      </c>
      <c r="CJ52" s="466">
        <f t="shared" si="66"/>
        <v>0.63355079112137203</v>
      </c>
      <c r="CK52" s="466">
        <f t="shared" si="66"/>
        <v>0.63394176030552385</v>
      </c>
      <c r="CL52" s="467">
        <f t="shared" si="66"/>
        <v>0.63320643932299503</v>
      </c>
      <c r="CM52" s="468">
        <f t="shared" si="24"/>
        <v>0.65146915966739971</v>
      </c>
      <c r="CN52" s="17"/>
      <c r="CO52" s="17"/>
      <c r="CP52" s="17"/>
      <c r="CQ52" s="17"/>
      <c r="CR52" s="17"/>
      <c r="CS52" s="17"/>
      <c r="CT52" s="17"/>
      <c r="CU52" s="17"/>
      <c r="CV52" s="17"/>
      <c r="CW52" s="17"/>
      <c r="CX52" s="17"/>
      <c r="CY52" s="17"/>
      <c r="CZ52" s="17"/>
      <c r="DA52" s="17"/>
      <c r="DB52" s="17"/>
      <c r="DC52" s="17"/>
      <c r="DD52" s="17"/>
      <c r="DE52" s="17"/>
      <c r="DF52" s="17"/>
      <c r="DG52" s="17"/>
      <c r="DH52" s="17"/>
      <c r="DI52" s="17"/>
      <c r="DJ52" s="17"/>
      <c r="DK52" s="17"/>
      <c r="DL52" s="17"/>
      <c r="DM52" s="17"/>
      <c r="DN52" s="17"/>
      <c r="DO52" s="17"/>
      <c r="DP52" s="17"/>
      <c r="DQ52" s="17"/>
      <c r="DR52" s="17"/>
      <c r="DS52" s="17"/>
      <c r="DT52" s="17"/>
      <c r="DU52" s="17"/>
      <c r="DV52" s="17"/>
      <c r="DW52" s="17"/>
      <c r="DX52" s="17"/>
      <c r="DY52" s="17"/>
      <c r="DZ52" s="17"/>
      <c r="EA52" s="17"/>
      <c r="EB52" s="17"/>
      <c r="EC52" s="17"/>
      <c r="ED52" s="17"/>
      <c r="EE52" s="17"/>
      <c r="EF52" s="17"/>
      <c r="EG52" s="17"/>
      <c r="EH52" s="17"/>
      <c r="EI52" s="17"/>
      <c r="EJ52" s="17"/>
      <c r="EK52" s="17"/>
      <c r="EL52" s="17"/>
      <c r="EM52" s="17"/>
      <c r="EN52" s="17"/>
      <c r="EO52" s="17"/>
      <c r="EP52" s="17"/>
      <c r="EQ52" s="17"/>
      <c r="ER52" s="17"/>
      <c r="ES52" s="17"/>
      <c r="ET52" s="17"/>
      <c r="EU52" s="17"/>
      <c r="EV52" s="17"/>
      <c r="EW52" s="17"/>
      <c r="EX52" s="17"/>
      <c r="EY52" s="17"/>
      <c r="EZ52" s="17"/>
      <c r="FA52" s="17"/>
      <c r="FB52" s="17"/>
      <c r="FC52" s="17"/>
      <c r="FD52" s="17"/>
      <c r="FE52" s="17"/>
      <c r="FF52" s="17"/>
      <c r="FG52" s="17"/>
      <c r="FH52" s="17"/>
      <c r="FI52" s="17"/>
      <c r="FJ52" s="17"/>
      <c r="FK52" s="17"/>
      <c r="FL52" s="17"/>
      <c r="FM52" s="17"/>
      <c r="FN52" s="17"/>
      <c r="FO52" s="17"/>
      <c r="FP52" s="17"/>
      <c r="FQ52" s="17"/>
      <c r="FR52" s="17"/>
      <c r="FS52" s="17"/>
      <c r="FT52" s="17"/>
      <c r="FU52" s="17"/>
      <c r="FV52" s="17"/>
    </row>
    <row r="53" spans="1:178">
      <c r="A53" s="463" t="s">
        <v>337</v>
      </c>
      <c r="B53" s="52" t="s">
        <v>312</v>
      </c>
      <c r="C53" s="362"/>
      <c r="D53" s="362"/>
      <c r="E53" s="58"/>
      <c r="F53" s="382" t="s">
        <v>339</v>
      </c>
      <c r="G53" s="465">
        <f t="shared" ref="G53:BR53" si="67">G51/(G2*G12+G13*G3+G4*G14+G15*G5)</f>
        <v>0.34134049821999285</v>
      </c>
      <c r="H53" s="465">
        <f t="shared" si="67"/>
        <v>0.34287593263297877</v>
      </c>
      <c r="I53" s="465">
        <f t="shared" si="67"/>
        <v>0.34776923116770303</v>
      </c>
      <c r="J53" s="465">
        <f t="shared" si="67"/>
        <v>0.3495833265031783</v>
      </c>
      <c r="K53" s="465">
        <f t="shared" si="67"/>
        <v>0.34857907397509424</v>
      </c>
      <c r="L53" s="465">
        <f t="shared" si="67"/>
        <v>0.34861737460493308</v>
      </c>
      <c r="M53" s="465">
        <f t="shared" si="67"/>
        <v>0.3490180817390432</v>
      </c>
      <c r="N53" s="465">
        <f t="shared" si="67"/>
        <v>0.34919548081514629</v>
      </c>
      <c r="O53" s="465">
        <f t="shared" si="67"/>
        <v>0.34947890893915978</v>
      </c>
      <c r="P53" s="465">
        <f t="shared" si="67"/>
        <v>0.34959056343343836</v>
      </c>
      <c r="Q53" s="465">
        <f t="shared" si="67"/>
        <v>0.34982675852445916</v>
      </c>
      <c r="R53" s="465">
        <f t="shared" si="67"/>
        <v>0.34961719619601994</v>
      </c>
      <c r="S53" s="465">
        <f t="shared" si="67"/>
        <v>0.34816198453170977</v>
      </c>
      <c r="T53" s="465">
        <f t="shared" si="67"/>
        <v>0.35061288791870537</v>
      </c>
      <c r="U53" s="465">
        <f t="shared" si="67"/>
        <v>0.34327464630340715</v>
      </c>
      <c r="V53" s="465">
        <f t="shared" si="67"/>
        <v>0.34006856198158375</v>
      </c>
      <c r="W53" s="465">
        <f t="shared" si="67"/>
        <v>0.3271745228927353</v>
      </c>
      <c r="X53" s="465">
        <f t="shared" si="67"/>
        <v>0.34228474524683977</v>
      </c>
      <c r="Y53" s="465">
        <f t="shared" si="67"/>
        <v>0.36418452747753693</v>
      </c>
      <c r="Z53" s="465">
        <f t="shared" si="67"/>
        <v>0.36177087548202846</v>
      </c>
      <c r="AA53" s="465">
        <f t="shared" si="67"/>
        <v>0.36210214576706079</v>
      </c>
      <c r="AB53" s="465">
        <f t="shared" si="67"/>
        <v>0.36541085255876055</v>
      </c>
      <c r="AC53" s="465">
        <f t="shared" si="67"/>
        <v>0.35376684247135193</v>
      </c>
      <c r="AD53" s="465">
        <f t="shared" si="67"/>
        <v>0.35759423405767832</v>
      </c>
      <c r="AE53" s="465">
        <f t="shared" si="67"/>
        <v>0.36085866078258788</v>
      </c>
      <c r="AF53" s="465">
        <f t="shared" si="67"/>
        <v>0.35632108081031849</v>
      </c>
      <c r="AG53" s="465">
        <f t="shared" si="67"/>
        <v>0.35698240484056393</v>
      </c>
      <c r="AH53" s="465">
        <f t="shared" si="67"/>
        <v>0.36079491730752544</v>
      </c>
      <c r="AI53" s="465">
        <f t="shared" si="67"/>
        <v>0.35746377300117138</v>
      </c>
      <c r="AJ53" s="465">
        <f t="shared" si="67"/>
        <v>0.34655519245468142</v>
      </c>
      <c r="AK53" s="465">
        <f t="shared" si="67"/>
        <v>0.3468284088764868</v>
      </c>
      <c r="AL53" s="465">
        <f t="shared" si="67"/>
        <v>0.34852228606967817</v>
      </c>
      <c r="AM53" s="465">
        <f t="shared" si="67"/>
        <v>0.34809461489686488</v>
      </c>
      <c r="AN53" s="465">
        <f t="shared" si="67"/>
        <v>0.34656284086767508</v>
      </c>
      <c r="AO53" s="465">
        <f t="shared" si="67"/>
        <v>0.36050245393136365</v>
      </c>
      <c r="AP53" s="465">
        <f t="shared" si="67"/>
        <v>0.34881757892484044</v>
      </c>
      <c r="AQ53" s="465">
        <f t="shared" si="67"/>
        <v>0.34340663613014805</v>
      </c>
      <c r="AR53" s="465">
        <f t="shared" si="67"/>
        <v>0.33918870837005394</v>
      </c>
      <c r="AS53" s="465">
        <f t="shared" si="67"/>
        <v>0.33557424272287339</v>
      </c>
      <c r="AT53" s="465">
        <f t="shared" si="67"/>
        <v>0.33980170573776991</v>
      </c>
      <c r="AU53" s="466">
        <f t="shared" si="67"/>
        <v>0.33593965061473824</v>
      </c>
      <c r="AV53" s="466">
        <f t="shared" si="67"/>
        <v>0.32899607171679646</v>
      </c>
      <c r="AW53" s="466">
        <f t="shared" si="67"/>
        <v>0.33235140703992283</v>
      </c>
      <c r="AX53" s="466">
        <f t="shared" si="67"/>
        <v>0.35051096728647302</v>
      </c>
      <c r="AY53" s="466">
        <f t="shared" si="67"/>
        <v>0.33448598769753102</v>
      </c>
      <c r="AZ53" s="466">
        <f t="shared" si="67"/>
        <v>0.33024059220942947</v>
      </c>
      <c r="BA53" s="466">
        <f t="shared" si="67"/>
        <v>0.33013595403857598</v>
      </c>
      <c r="BB53" s="466">
        <f t="shared" si="67"/>
        <v>0.33341073268947025</v>
      </c>
      <c r="BC53" s="466">
        <f t="shared" si="67"/>
        <v>0.35679599504197407</v>
      </c>
      <c r="BD53" s="466">
        <f t="shared" si="67"/>
        <v>0.34902640495295567</v>
      </c>
      <c r="BE53" s="466">
        <f t="shared" si="67"/>
        <v>0.34177732482327389</v>
      </c>
      <c r="BF53" s="466">
        <f t="shared" si="67"/>
        <v>0.34128534678683364</v>
      </c>
      <c r="BG53" s="466">
        <f t="shared" si="67"/>
        <v>0.3474852887824938</v>
      </c>
      <c r="BH53" s="466">
        <f t="shared" si="67"/>
        <v>0.34945741505116107</v>
      </c>
      <c r="BI53" s="466">
        <f t="shared" si="67"/>
        <v>0.35048406988576269</v>
      </c>
      <c r="BJ53" s="466">
        <f t="shared" si="67"/>
        <v>0.35012485007440558</v>
      </c>
      <c r="BK53" s="466">
        <f t="shared" si="67"/>
        <v>0.34048255601754845</v>
      </c>
      <c r="BL53" s="466">
        <f t="shared" si="67"/>
        <v>0.34227369142468145</v>
      </c>
      <c r="BM53" s="466">
        <f t="shared" si="67"/>
        <v>0.33792734794178614</v>
      </c>
      <c r="BN53" s="466">
        <f t="shared" si="67"/>
        <v>0.34200574943793188</v>
      </c>
      <c r="BO53" s="466">
        <f t="shared" si="67"/>
        <v>0.34879416084417902</v>
      </c>
      <c r="BP53" s="466">
        <f t="shared" si="67"/>
        <v>0.34891384801228609</v>
      </c>
      <c r="BQ53" s="466">
        <f t="shared" si="67"/>
        <v>0.3516266175946221</v>
      </c>
      <c r="BR53" s="466">
        <f t="shared" si="67"/>
        <v>0.34974404657562286</v>
      </c>
      <c r="BS53" s="466">
        <f t="shared" ref="BS53:CL53" si="68">BS51/(BS2*BS12+BS13*BS3+BS4*BS14+BS15*BS5)</f>
        <v>0.34434916993896209</v>
      </c>
      <c r="BT53" s="466">
        <f t="shared" si="68"/>
        <v>0.32614856872659576</v>
      </c>
      <c r="BU53" s="466">
        <f t="shared" si="68"/>
        <v>0.35942464641353755</v>
      </c>
      <c r="BV53" s="466">
        <f t="shared" si="68"/>
        <v>0.35283764497712938</v>
      </c>
      <c r="BW53" s="466">
        <f t="shared" si="68"/>
        <v>0.35610372195490148</v>
      </c>
      <c r="BX53" s="466">
        <f t="shared" si="68"/>
        <v>0.34304363919653363</v>
      </c>
      <c r="BY53" s="466">
        <f t="shared" si="68"/>
        <v>0.34255402773263993</v>
      </c>
      <c r="BZ53" s="466">
        <f t="shared" si="68"/>
        <v>0.33897557740586576</v>
      </c>
      <c r="CA53" s="466">
        <f t="shared" si="68"/>
        <v>0.3379598634496298</v>
      </c>
      <c r="CB53" s="466">
        <f t="shared" si="68"/>
        <v>0.34748256453560095</v>
      </c>
      <c r="CC53" s="466">
        <f t="shared" si="68"/>
        <v>0.35049979403964909</v>
      </c>
      <c r="CD53" s="466">
        <f t="shared" si="68"/>
        <v>0.3568790047582977</v>
      </c>
      <c r="CE53" s="466">
        <f t="shared" si="68"/>
        <v>0.35931960393539675</v>
      </c>
      <c r="CF53" s="466">
        <f t="shared" si="68"/>
        <v>0.36130275600530171</v>
      </c>
      <c r="CG53" s="466">
        <f t="shared" si="68"/>
        <v>0.36055297398575664</v>
      </c>
      <c r="CH53" s="466">
        <f t="shared" si="68"/>
        <v>0.36227899636439442</v>
      </c>
      <c r="CI53" s="466">
        <f t="shared" si="68"/>
        <v>0.36512618956251774</v>
      </c>
      <c r="CJ53" s="466">
        <f t="shared" si="68"/>
        <v>0.36644920887862803</v>
      </c>
      <c r="CK53" s="466">
        <f t="shared" si="68"/>
        <v>0.36605823969447593</v>
      </c>
      <c r="CL53" s="467">
        <f t="shared" si="68"/>
        <v>0.36679356067700497</v>
      </c>
      <c r="CM53" s="469">
        <f t="shared" si="24"/>
        <v>0.34853084033260018</v>
      </c>
      <c r="CN53" s="58"/>
      <c r="CO53" s="58"/>
      <c r="CP53" s="58"/>
      <c r="CQ53" s="58"/>
      <c r="CR53" s="58"/>
      <c r="CS53" s="58"/>
      <c r="CT53" s="58"/>
      <c r="CU53" s="58"/>
      <c r="CV53" s="58"/>
      <c r="CW53" s="58"/>
      <c r="CX53" s="58"/>
      <c r="CY53" s="58"/>
      <c r="CZ53" s="58"/>
      <c r="DA53" s="58"/>
      <c r="DB53" s="58"/>
      <c r="DC53" s="58"/>
      <c r="DD53" s="58"/>
      <c r="DE53" s="58"/>
      <c r="DF53" s="58"/>
      <c r="DG53" s="58"/>
      <c r="DH53" s="58"/>
      <c r="DI53" s="58"/>
      <c r="DJ53" s="58"/>
      <c r="DK53" s="58"/>
      <c r="DL53" s="58"/>
      <c r="DM53" s="58"/>
      <c r="DN53" s="58"/>
      <c r="DO53" s="58"/>
      <c r="DP53" s="58"/>
      <c r="DQ53" s="58"/>
      <c r="DR53" s="58"/>
      <c r="DS53" s="58"/>
      <c r="DT53" s="58"/>
      <c r="DU53" s="58"/>
      <c r="DV53" s="58"/>
      <c r="DW53" s="58"/>
      <c r="DX53" s="58"/>
      <c r="DY53" s="58"/>
      <c r="DZ53" s="58"/>
      <c r="EA53" s="58"/>
      <c r="EB53" s="58"/>
      <c r="EC53" s="58"/>
      <c r="ED53" s="58"/>
      <c r="EE53" s="58"/>
      <c r="EF53" s="58"/>
      <c r="EG53" s="58"/>
      <c r="EH53" s="58"/>
      <c r="EI53" s="58"/>
      <c r="EJ53" s="58"/>
      <c r="EK53" s="58"/>
      <c r="EL53" s="58"/>
      <c r="EM53" s="58"/>
      <c r="EN53" s="58"/>
      <c r="EO53" s="58"/>
      <c r="EP53" s="58"/>
      <c r="EQ53" s="58"/>
      <c r="ER53" s="58"/>
      <c r="ES53" s="58"/>
      <c r="ET53" s="58"/>
      <c r="EU53" s="58"/>
      <c r="EV53" s="58"/>
      <c r="EW53" s="58"/>
      <c r="EX53" s="58"/>
      <c r="EY53" s="58"/>
      <c r="EZ53" s="58"/>
      <c r="FA53" s="58"/>
      <c r="FB53" s="58"/>
      <c r="FC53" s="58"/>
      <c r="FD53" s="58"/>
      <c r="FE53" s="58"/>
      <c r="FF53" s="58"/>
      <c r="FG53" s="58"/>
      <c r="FH53" s="58"/>
      <c r="FI53" s="58"/>
      <c r="FJ53" s="58"/>
      <c r="FK53" s="58"/>
      <c r="FL53" s="58"/>
      <c r="FM53" s="58"/>
      <c r="FN53" s="58"/>
      <c r="FO53" s="58"/>
      <c r="FP53" s="58"/>
      <c r="FQ53" s="58"/>
      <c r="FR53" s="58"/>
      <c r="FS53" s="58"/>
      <c r="FT53" s="58"/>
      <c r="FU53" s="58"/>
      <c r="FV53" s="58"/>
    </row>
    <row r="54" spans="1:178">
      <c r="A54" s="463" t="s">
        <v>340</v>
      </c>
      <c r="B54" s="52" t="s">
        <v>312</v>
      </c>
      <c r="C54" s="362" t="s">
        <v>326</v>
      </c>
      <c r="D54" s="362"/>
      <c r="E54" s="58"/>
      <c r="F54" s="382" t="s">
        <v>341</v>
      </c>
      <c r="G54" s="464">
        <f t="shared" ref="G54:BR54" si="69">G7*G18+G8*G19+G9*G20+G10*G21+G11*G22</f>
        <v>2146931953.6070817</v>
      </c>
      <c r="H54" s="464">
        <f t="shared" si="69"/>
        <v>2113611931.3147116</v>
      </c>
      <c r="I54" s="464">
        <f t="shared" si="69"/>
        <v>2123712087.4961913</v>
      </c>
      <c r="J54" s="464">
        <f t="shared" si="69"/>
        <v>2135879871.2240429</v>
      </c>
      <c r="K54" s="464">
        <f t="shared" si="69"/>
        <v>2109943330.0295124</v>
      </c>
      <c r="L54" s="464">
        <f t="shared" si="69"/>
        <v>2156226968.2725315</v>
      </c>
      <c r="M54" s="464">
        <f t="shared" si="69"/>
        <v>2121579562.8359153</v>
      </c>
      <c r="N54" s="464">
        <f t="shared" si="69"/>
        <v>2168137807.5265694</v>
      </c>
      <c r="O54" s="464">
        <f t="shared" si="69"/>
        <v>2079757369.782135</v>
      </c>
      <c r="P54" s="464">
        <f t="shared" si="69"/>
        <v>2124847767.6174877</v>
      </c>
      <c r="Q54" s="464">
        <f t="shared" si="69"/>
        <v>2073091165.9911847</v>
      </c>
      <c r="R54" s="464">
        <f t="shared" si="69"/>
        <v>1975438009.160445</v>
      </c>
      <c r="S54" s="464">
        <f t="shared" si="69"/>
        <v>2000253792.1094956</v>
      </c>
      <c r="T54" s="464">
        <f t="shared" si="69"/>
        <v>1991723187.9628112</v>
      </c>
      <c r="U54" s="464">
        <f t="shared" si="69"/>
        <v>1890411424.3426554</v>
      </c>
      <c r="V54" s="464">
        <f t="shared" si="69"/>
        <v>1960900252.7938998</v>
      </c>
      <c r="W54" s="464">
        <f t="shared" si="69"/>
        <v>1805633424.4705422</v>
      </c>
      <c r="X54" s="464">
        <f t="shared" si="69"/>
        <v>1817785644.7111759</v>
      </c>
      <c r="Y54" s="464">
        <f t="shared" si="69"/>
        <v>1892327981.7880354</v>
      </c>
      <c r="Z54" s="464">
        <f t="shared" si="69"/>
        <v>1883548338.7417812</v>
      </c>
      <c r="AA54" s="464">
        <f t="shared" si="69"/>
        <v>1903158307.6574607</v>
      </c>
      <c r="AB54" s="464">
        <f t="shared" si="69"/>
        <v>1943534840.9133639</v>
      </c>
      <c r="AC54" s="464">
        <f t="shared" si="69"/>
        <v>1956876588.0618243</v>
      </c>
      <c r="AD54" s="464">
        <f t="shared" si="69"/>
        <v>1914659669.9888694</v>
      </c>
      <c r="AE54" s="464">
        <f t="shared" si="69"/>
        <v>1912745502.973686</v>
      </c>
      <c r="AF54" s="464">
        <f t="shared" si="69"/>
        <v>1913549807.3621423</v>
      </c>
      <c r="AG54" s="464">
        <f t="shared" si="69"/>
        <v>1970512647.5069883</v>
      </c>
      <c r="AH54" s="464">
        <f t="shared" si="69"/>
        <v>2031578578.3125372</v>
      </c>
      <c r="AI54" s="464">
        <f t="shared" si="69"/>
        <v>2160536741.3600712</v>
      </c>
      <c r="AJ54" s="464">
        <f t="shared" si="69"/>
        <v>2120320581.1326625</v>
      </c>
      <c r="AK54" s="464">
        <f t="shared" si="69"/>
        <v>2223267902.9602041</v>
      </c>
      <c r="AL54" s="464">
        <f t="shared" si="69"/>
        <v>2172805568.4507384</v>
      </c>
      <c r="AM54" s="464">
        <f t="shared" si="69"/>
        <v>2140467538.2301235</v>
      </c>
      <c r="AN54" s="464">
        <f t="shared" si="69"/>
        <v>2164291128.0908957</v>
      </c>
      <c r="AO54" s="464">
        <f t="shared" si="69"/>
        <v>2097673564.9724956</v>
      </c>
      <c r="AP54" s="464">
        <f t="shared" si="69"/>
        <v>2094232383.5399387</v>
      </c>
      <c r="AQ54" s="464">
        <f t="shared" si="69"/>
        <v>2127590568.2209167</v>
      </c>
      <c r="AR54" s="464">
        <f t="shared" si="69"/>
        <v>2045339485.0055718</v>
      </c>
      <c r="AS54" s="464">
        <f t="shared" si="69"/>
        <v>2138987311.7296226</v>
      </c>
      <c r="AT54" s="464">
        <f t="shared" si="69"/>
        <v>2188557100.369648</v>
      </c>
      <c r="AU54" s="376">
        <f t="shared" si="69"/>
        <v>2325856595.9268208</v>
      </c>
      <c r="AV54" s="376">
        <f t="shared" si="69"/>
        <v>2381769159.2625484</v>
      </c>
      <c r="AW54" s="376">
        <f t="shared" si="69"/>
        <v>2417021197.1475396</v>
      </c>
      <c r="AX54" s="376">
        <f t="shared" si="69"/>
        <v>2450616312.2641397</v>
      </c>
      <c r="AY54" s="376">
        <f t="shared" si="69"/>
        <v>2836497154.6165628</v>
      </c>
      <c r="AZ54" s="376">
        <f t="shared" si="69"/>
        <v>2808264639.3488865</v>
      </c>
      <c r="BA54" s="376">
        <f t="shared" si="69"/>
        <v>2815912834.5750637</v>
      </c>
      <c r="BB54" s="376">
        <f t="shared" si="69"/>
        <v>2955221692.5867639</v>
      </c>
      <c r="BC54" s="376">
        <f t="shared" si="69"/>
        <v>2915249146.8372469</v>
      </c>
      <c r="BD54" s="376">
        <f t="shared" si="69"/>
        <v>2671274574.6366334</v>
      </c>
      <c r="BE54" s="376">
        <f t="shared" si="69"/>
        <v>2244960402.809906</v>
      </c>
      <c r="BF54" s="376">
        <f t="shared" si="69"/>
        <v>2078078365.151567</v>
      </c>
      <c r="BG54" s="376">
        <f t="shared" si="69"/>
        <v>2072263527.7952678</v>
      </c>
      <c r="BH54" s="376">
        <f t="shared" si="69"/>
        <v>2140685705.6147151</v>
      </c>
      <c r="BI54" s="376">
        <f t="shared" si="69"/>
        <v>2126063177.2597153</v>
      </c>
      <c r="BJ54" s="376">
        <f t="shared" si="69"/>
        <v>2104617976.3614671</v>
      </c>
      <c r="BK54" s="376">
        <f t="shared" si="69"/>
        <v>2155834148.5820341</v>
      </c>
      <c r="BL54" s="376">
        <f t="shared" si="69"/>
        <v>2112869040.8967116</v>
      </c>
      <c r="BM54" s="376">
        <f t="shared" si="69"/>
        <v>2219431597.3833466</v>
      </c>
      <c r="BN54" s="376">
        <f t="shared" si="69"/>
        <v>2259437349.9476085</v>
      </c>
      <c r="BO54" s="376">
        <f t="shared" si="69"/>
        <v>2380658370.9241524</v>
      </c>
      <c r="BP54" s="376">
        <f t="shared" si="69"/>
        <v>2259821107.2510276</v>
      </c>
      <c r="BQ54" s="376">
        <f t="shared" si="69"/>
        <v>2063530410.8567803</v>
      </c>
      <c r="BR54" s="376">
        <f t="shared" si="69"/>
        <v>2201892538.9474139</v>
      </c>
      <c r="BS54" s="376">
        <f t="shared" ref="BS54:CL54" si="70">BS7*BS18+BS8*BS19+BS9*BS20+BS10*BS21+BS11*BS22</f>
        <v>2217169007.9518428</v>
      </c>
      <c r="BT54" s="376">
        <f t="shared" si="70"/>
        <v>2005222892.2537336</v>
      </c>
      <c r="BU54" s="376">
        <f t="shared" si="70"/>
        <v>1542385957.1768253</v>
      </c>
      <c r="BV54" s="376">
        <f t="shared" si="70"/>
        <v>989947866.06813431</v>
      </c>
      <c r="BW54" s="376">
        <f t="shared" si="70"/>
        <v>1099814701.3746512</v>
      </c>
      <c r="BX54" s="376">
        <f t="shared" si="70"/>
        <v>1353122010.7435229</v>
      </c>
      <c r="BY54" s="376">
        <f t="shared" si="70"/>
        <v>1457278993.6918116</v>
      </c>
      <c r="BZ54" s="376">
        <f t="shared" si="70"/>
        <v>1603136137.0073113</v>
      </c>
      <c r="CA54" s="376">
        <f t="shared" si="70"/>
        <v>1680084547.8808582</v>
      </c>
      <c r="CB54" s="376">
        <f t="shared" si="70"/>
        <v>1844569087.8909144</v>
      </c>
      <c r="CC54" s="376">
        <f t="shared" si="70"/>
        <v>2180257268.4335723</v>
      </c>
      <c r="CD54" s="376">
        <f t="shared" si="70"/>
        <v>2237666375.9768968</v>
      </c>
      <c r="CE54" s="376">
        <f t="shared" si="70"/>
        <v>2060048439.0739055</v>
      </c>
      <c r="CF54" s="376">
        <f t="shared" si="70"/>
        <v>2223373529.6037898</v>
      </c>
      <c r="CG54" s="376">
        <f t="shared" si="70"/>
        <v>2556893168.6593938</v>
      </c>
      <c r="CH54" s="376">
        <f t="shared" si="70"/>
        <v>2538142362.5742683</v>
      </c>
      <c r="CI54" s="376">
        <f t="shared" si="70"/>
        <v>2654065104.6995935</v>
      </c>
      <c r="CJ54" s="376">
        <f t="shared" si="70"/>
        <v>2824575846.7266102</v>
      </c>
      <c r="CK54" s="376">
        <f t="shared" si="70"/>
        <v>3160301197.2429938</v>
      </c>
      <c r="CL54" s="382">
        <f t="shared" si="70"/>
        <v>3123827790.9294677</v>
      </c>
      <c r="CM54" s="75">
        <f t="shared" si="24"/>
        <v>2144549250.0185947</v>
      </c>
      <c r="CN54" s="58"/>
      <c r="CO54" s="58"/>
      <c r="CP54" s="58"/>
      <c r="CQ54" s="58"/>
      <c r="CR54" s="58"/>
      <c r="CS54" s="58"/>
      <c r="CT54" s="58"/>
      <c r="CU54" s="58"/>
      <c r="CV54" s="58"/>
      <c r="CW54" s="58"/>
      <c r="CX54" s="58"/>
      <c r="CY54" s="58"/>
      <c r="CZ54" s="58"/>
      <c r="DA54" s="58"/>
      <c r="DB54" s="58"/>
      <c r="DC54" s="58"/>
      <c r="DD54" s="58"/>
      <c r="DE54" s="58"/>
      <c r="DF54" s="58"/>
      <c r="DG54" s="58"/>
      <c r="DH54" s="58"/>
      <c r="DI54" s="58"/>
      <c r="DJ54" s="58"/>
      <c r="DK54" s="58"/>
      <c r="DL54" s="58"/>
      <c r="DM54" s="58"/>
      <c r="DN54" s="58"/>
      <c r="DO54" s="58"/>
      <c r="DP54" s="58"/>
      <c r="DQ54" s="58"/>
      <c r="DR54" s="58"/>
      <c r="DS54" s="58"/>
      <c r="DT54" s="58"/>
      <c r="DU54" s="58"/>
      <c r="DV54" s="58"/>
      <c r="DW54" s="58"/>
      <c r="DX54" s="58"/>
      <c r="DY54" s="58"/>
      <c r="DZ54" s="58"/>
      <c r="EA54" s="58"/>
      <c r="EB54" s="58"/>
      <c r="EC54" s="58"/>
      <c r="ED54" s="58"/>
      <c r="EE54" s="58"/>
      <c r="EF54" s="58"/>
      <c r="EG54" s="58"/>
      <c r="EH54" s="58"/>
      <c r="EI54" s="58"/>
      <c r="EJ54" s="58"/>
      <c r="EK54" s="58"/>
      <c r="EL54" s="58"/>
      <c r="EM54" s="58"/>
      <c r="EN54" s="58"/>
      <c r="EO54" s="58"/>
      <c r="EP54" s="58"/>
      <c r="EQ54" s="58"/>
      <c r="ER54" s="58"/>
      <c r="ES54" s="58"/>
      <c r="ET54" s="58"/>
      <c r="EU54" s="58"/>
      <c r="EV54" s="58"/>
      <c r="EW54" s="58"/>
      <c r="EX54" s="58"/>
      <c r="EY54" s="58"/>
      <c r="EZ54" s="58"/>
      <c r="FA54" s="58"/>
      <c r="FB54" s="58"/>
      <c r="FC54" s="58"/>
      <c r="FD54" s="58"/>
      <c r="FE54" s="58"/>
      <c r="FF54" s="58"/>
      <c r="FG54" s="58"/>
      <c r="FH54" s="58"/>
      <c r="FI54" s="58"/>
      <c r="FJ54" s="58"/>
      <c r="FK54" s="58"/>
      <c r="FL54" s="58"/>
      <c r="FM54" s="58"/>
      <c r="FN54" s="58"/>
      <c r="FO54" s="58"/>
      <c r="FP54" s="58"/>
      <c r="FQ54" s="58"/>
      <c r="FR54" s="58"/>
      <c r="FS54" s="58"/>
      <c r="FT54" s="58"/>
      <c r="FU54" s="58"/>
      <c r="FV54" s="58"/>
    </row>
    <row r="55" spans="1:178">
      <c r="A55" s="457" t="s">
        <v>342</v>
      </c>
      <c r="B55" s="53" t="s">
        <v>312</v>
      </c>
      <c r="C55" s="367" t="s">
        <v>326</v>
      </c>
      <c r="D55" s="367"/>
      <c r="E55" s="236"/>
      <c r="F55" s="389" t="s">
        <v>182</v>
      </c>
      <c r="G55" s="470">
        <f t="shared" ref="G55:R55" si="71">G23*G2+G3*G24+G25*G4+G5*G26+G27*CP41</f>
        <v>1615458245.3078921</v>
      </c>
      <c r="H55" s="470">
        <f t="shared" si="71"/>
        <v>1606500010.6648328</v>
      </c>
      <c r="I55" s="470">
        <f t="shared" si="71"/>
        <v>1456595977.4322703</v>
      </c>
      <c r="J55" s="470">
        <f t="shared" si="71"/>
        <v>1417252441.6665888</v>
      </c>
      <c r="K55" s="470">
        <f t="shared" si="71"/>
        <v>1403474438.0612333</v>
      </c>
      <c r="L55" s="470">
        <f t="shared" si="71"/>
        <v>1437729899.6940739</v>
      </c>
      <c r="M55" s="470">
        <f t="shared" si="71"/>
        <v>1418767747.1854408</v>
      </c>
      <c r="N55" s="470">
        <f t="shared" si="71"/>
        <v>1403557950.7186449</v>
      </c>
      <c r="O55" s="470">
        <f t="shared" si="71"/>
        <v>1362449768.4692667</v>
      </c>
      <c r="P55" s="470">
        <f t="shared" si="71"/>
        <v>1343382263.6504271</v>
      </c>
      <c r="Q55" s="470">
        <f t="shared" si="71"/>
        <v>1333386277.7499812</v>
      </c>
      <c r="R55" s="470">
        <f t="shared" si="71"/>
        <v>1284483791.0636997</v>
      </c>
      <c r="S55" s="470">
        <f t="shared" ref="S55:AX55" si="72">S23*S2+S3*S24+S25*S4+S5*S26+S27*DB41</f>
        <v>1312249949.3795693</v>
      </c>
      <c r="T55" s="470">
        <f t="shared" si="72"/>
        <v>1316107257.1162863</v>
      </c>
      <c r="U55" s="470">
        <f t="shared" si="72"/>
        <v>1169352729.3347266</v>
      </c>
      <c r="V55" s="470">
        <f t="shared" si="72"/>
        <v>1285138160.7408273</v>
      </c>
      <c r="W55" s="470">
        <f t="shared" si="72"/>
        <v>1086833206.0605919</v>
      </c>
      <c r="X55" s="470">
        <f t="shared" si="72"/>
        <v>1128607335.4313135</v>
      </c>
      <c r="Y55" s="470">
        <f t="shared" si="72"/>
        <v>1111274673.561125</v>
      </c>
      <c r="Z55" s="470">
        <f t="shared" si="72"/>
        <v>1185125813.1760688</v>
      </c>
      <c r="AA55" s="470">
        <f t="shared" si="72"/>
        <v>1147329382.687398</v>
      </c>
      <c r="AB55" s="470">
        <f t="shared" si="72"/>
        <v>1229828855.9766459</v>
      </c>
      <c r="AC55" s="470">
        <f t="shared" si="72"/>
        <v>1072671936.5871286</v>
      </c>
      <c r="AD55" s="470">
        <f t="shared" si="72"/>
        <v>1088538527.093997</v>
      </c>
      <c r="AE55" s="470">
        <f t="shared" si="72"/>
        <v>961789164.22436559</v>
      </c>
      <c r="AF55" s="470">
        <f t="shared" si="72"/>
        <v>1145234909.5797982</v>
      </c>
      <c r="AG55" s="470">
        <f t="shared" si="72"/>
        <v>1205469530.6640949</v>
      </c>
      <c r="AH55" s="470">
        <f t="shared" si="72"/>
        <v>1452224597.06775</v>
      </c>
      <c r="AI55" s="470">
        <f t="shared" si="72"/>
        <v>1480014833.7255862</v>
      </c>
      <c r="AJ55" s="470">
        <f t="shared" si="72"/>
        <v>1481393823.5539608</v>
      </c>
      <c r="AK55" s="470">
        <f t="shared" si="72"/>
        <v>1529606274.0624058</v>
      </c>
      <c r="AL55" s="470">
        <f t="shared" si="72"/>
        <v>1367937263.3679354</v>
      </c>
      <c r="AM55" s="470">
        <f t="shared" si="72"/>
        <v>1282306514.958282</v>
      </c>
      <c r="AN55" s="470">
        <f t="shared" si="72"/>
        <v>1277557238.7731438</v>
      </c>
      <c r="AO55" s="470">
        <f t="shared" si="72"/>
        <v>1254053577.7646339</v>
      </c>
      <c r="AP55" s="470">
        <f t="shared" si="72"/>
        <v>1171672424.1336086</v>
      </c>
      <c r="AQ55" s="470">
        <f t="shared" si="72"/>
        <v>1694540252.2854903</v>
      </c>
      <c r="AR55" s="470">
        <f t="shared" si="72"/>
        <v>1631465400.1848404</v>
      </c>
      <c r="AS55" s="470">
        <f t="shared" si="72"/>
        <v>1598671164.2423623</v>
      </c>
      <c r="AT55" s="470">
        <f t="shared" si="72"/>
        <v>1645739135.6909988</v>
      </c>
      <c r="AU55" s="387">
        <f t="shared" si="72"/>
        <v>1521318265.0352988</v>
      </c>
      <c r="AV55" s="387">
        <f t="shared" si="72"/>
        <v>1543540335.8584955</v>
      </c>
      <c r="AW55" s="387">
        <f t="shared" si="72"/>
        <v>1577178158.6007218</v>
      </c>
      <c r="AX55" s="387">
        <f t="shared" si="72"/>
        <v>1715401315.3261027</v>
      </c>
      <c r="AY55" s="387">
        <f t="shared" ref="AY55:CD55" si="73">AY23*AY2+AY3*AY24+AY25*AY4+AY5*AY26+AY27*EH41</f>
        <v>1800474231.6606596</v>
      </c>
      <c r="AZ55" s="387">
        <f t="shared" si="73"/>
        <v>1865613827.2287304</v>
      </c>
      <c r="BA55" s="387">
        <f t="shared" si="73"/>
        <v>1936852225.0561104</v>
      </c>
      <c r="BB55" s="387">
        <f t="shared" si="73"/>
        <v>2064407199.0921421</v>
      </c>
      <c r="BC55" s="387">
        <f t="shared" si="73"/>
        <v>2119734087.3075416</v>
      </c>
      <c r="BD55" s="387">
        <f t="shared" si="73"/>
        <v>1629440215.1821799</v>
      </c>
      <c r="BE55" s="387">
        <f t="shared" si="73"/>
        <v>1375042905.9514208</v>
      </c>
      <c r="BF55" s="387">
        <f t="shared" si="73"/>
        <v>1376927072.4519708</v>
      </c>
      <c r="BG55" s="387">
        <f t="shared" si="73"/>
        <v>1484909159.4677231</v>
      </c>
      <c r="BH55" s="387">
        <f t="shared" si="73"/>
        <v>1571378416.5564384</v>
      </c>
      <c r="BI55" s="387">
        <f t="shared" si="73"/>
        <v>1680361295.767987</v>
      </c>
      <c r="BJ55" s="387">
        <f t="shared" si="73"/>
        <v>1681292982.6928861</v>
      </c>
      <c r="BK55" s="387">
        <f t="shared" si="73"/>
        <v>1393108324.8120961</v>
      </c>
      <c r="BL55" s="387">
        <f t="shared" si="73"/>
        <v>1375772798.8812425</v>
      </c>
      <c r="BM55" s="387">
        <f t="shared" si="73"/>
        <v>1333289202.1338899</v>
      </c>
      <c r="BN55" s="387">
        <f t="shared" si="73"/>
        <v>1341318498.8144763</v>
      </c>
      <c r="BO55" s="387">
        <f t="shared" si="73"/>
        <v>1473719476.5089483</v>
      </c>
      <c r="BP55" s="387">
        <f t="shared" si="73"/>
        <v>1490876845.9456501</v>
      </c>
      <c r="BQ55" s="387">
        <f t="shared" si="73"/>
        <v>1574483660.5904374</v>
      </c>
      <c r="BR55" s="387">
        <f t="shared" si="73"/>
        <v>1702437951.5505795</v>
      </c>
      <c r="BS55" s="387">
        <f t="shared" si="73"/>
        <v>1535785381.6510196</v>
      </c>
      <c r="BT55" s="387">
        <f t="shared" si="73"/>
        <v>1170508756.5751548</v>
      </c>
      <c r="BU55" s="387">
        <f t="shared" si="73"/>
        <v>1388398809.3910296</v>
      </c>
      <c r="BV55" s="387">
        <f t="shared" si="73"/>
        <v>1396987506.4112735</v>
      </c>
      <c r="BW55" s="387">
        <f t="shared" si="73"/>
        <v>1501663631.1104565</v>
      </c>
      <c r="BX55" s="387">
        <f t="shared" si="73"/>
        <v>1235266697.5892003</v>
      </c>
      <c r="BY55" s="387">
        <f t="shared" si="73"/>
        <v>1248804938.6511283</v>
      </c>
      <c r="BZ55" s="387">
        <f t="shared" si="73"/>
        <v>1216738426.8688138</v>
      </c>
      <c r="CA55" s="387">
        <f t="shared" si="73"/>
        <v>1107700817.8476949</v>
      </c>
      <c r="CB55" s="387">
        <f t="shared" si="73"/>
        <v>1290846268.6929774</v>
      </c>
      <c r="CC55" s="387">
        <f t="shared" si="73"/>
        <v>1415725944.9400737</v>
      </c>
      <c r="CD55" s="387">
        <f t="shared" si="73"/>
        <v>1637472386.0801673</v>
      </c>
      <c r="CE55" s="387">
        <f t="shared" ref="CE55:CL55" si="74">CE23*CE2+CE3*CE24+CE25*CE4+CE5*CE26+CE27*FN41</f>
        <v>1798283006.901408</v>
      </c>
      <c r="CF55" s="387">
        <f t="shared" si="74"/>
        <v>1889769029.9241321</v>
      </c>
      <c r="CG55" s="387">
        <f t="shared" si="74"/>
        <v>1777365867.8616199</v>
      </c>
      <c r="CH55" s="387">
        <f t="shared" si="74"/>
        <v>1738574384.6590691</v>
      </c>
      <c r="CI55" s="387">
        <f t="shared" si="74"/>
        <v>1874160856.6629281</v>
      </c>
      <c r="CJ55" s="387">
        <f t="shared" si="74"/>
        <v>2073151618.2266767</v>
      </c>
      <c r="CK55" s="387">
        <f t="shared" si="74"/>
        <v>2071754644.8495882</v>
      </c>
      <c r="CL55" s="389">
        <f t="shared" si="74"/>
        <v>2102196063.6677222</v>
      </c>
      <c r="CM55" s="75">
        <f t="shared" si="24"/>
        <v>1470188169.4538715</v>
      </c>
      <c r="CN55" s="58"/>
      <c r="CO55" s="58"/>
      <c r="CP55" s="58"/>
      <c r="CQ55" s="58"/>
      <c r="CR55" s="58"/>
      <c r="CS55" s="58"/>
      <c r="CT55" s="58"/>
      <c r="CU55" s="58"/>
      <c r="CV55" s="58"/>
      <c r="CW55" s="58"/>
      <c r="CX55" s="58"/>
      <c r="CY55" s="58"/>
      <c r="CZ55" s="58"/>
      <c r="DA55" s="58"/>
      <c r="DB55" s="58"/>
      <c r="DC55" s="58"/>
      <c r="DD55" s="58"/>
      <c r="DE55" s="58"/>
      <c r="DF55" s="58"/>
      <c r="DG55" s="58"/>
      <c r="DH55" s="58"/>
      <c r="DI55" s="58"/>
      <c r="DJ55" s="58"/>
      <c r="DK55" s="58"/>
      <c r="DL55" s="58"/>
      <c r="DM55" s="58"/>
      <c r="DN55" s="58"/>
      <c r="DO55" s="58"/>
      <c r="DP55" s="58"/>
      <c r="DQ55" s="58"/>
      <c r="DR55" s="58"/>
      <c r="DS55" s="58"/>
      <c r="DT55" s="58"/>
      <c r="DU55" s="58"/>
      <c r="DV55" s="58"/>
      <c r="DW55" s="58"/>
      <c r="DX55" s="58"/>
      <c r="DY55" s="58"/>
      <c r="DZ55" s="58"/>
      <c r="EA55" s="58"/>
      <c r="EB55" s="58"/>
      <c r="EC55" s="58"/>
      <c r="ED55" s="58"/>
      <c r="EE55" s="58"/>
      <c r="EF55" s="58"/>
      <c r="EG55" s="58"/>
      <c r="EH55" s="58"/>
      <c r="EI55" s="58"/>
      <c r="EJ55" s="58"/>
      <c r="EK55" s="58"/>
      <c r="EL55" s="58"/>
      <c r="EM55" s="58"/>
      <c r="EN55" s="58"/>
      <c r="EO55" s="58"/>
      <c r="EP55" s="58"/>
      <c r="EQ55" s="58"/>
      <c r="ER55" s="58"/>
      <c r="ES55" s="58"/>
      <c r="ET55" s="58"/>
      <c r="EU55" s="58"/>
      <c r="EV55" s="58"/>
      <c r="EW55" s="58"/>
      <c r="EX55" s="58"/>
      <c r="EY55" s="58"/>
      <c r="EZ55" s="58"/>
      <c r="FA55" s="58"/>
      <c r="FB55" s="58"/>
      <c r="FC55" s="58"/>
      <c r="FD55" s="58"/>
      <c r="FE55" s="58"/>
      <c r="FF55" s="58"/>
      <c r="FG55" s="58"/>
      <c r="FH55" s="58"/>
      <c r="FI55" s="58"/>
      <c r="FJ55" s="58"/>
      <c r="FK55" s="58"/>
      <c r="FL55" s="58"/>
      <c r="FM55" s="58"/>
      <c r="FN55" s="58"/>
      <c r="FO55" s="58"/>
      <c r="FP55" s="58"/>
      <c r="FQ55" s="58"/>
      <c r="FR55" s="58"/>
      <c r="FS55" s="58"/>
      <c r="FT55" s="58"/>
      <c r="FU55" s="58"/>
      <c r="FV55" s="58"/>
    </row>
    <row r="56" spans="1:178">
      <c r="A56" s="1060" t="s">
        <v>343</v>
      </c>
      <c r="B56" s="286" t="s">
        <v>312</v>
      </c>
      <c r="C56" s="356" t="s">
        <v>344</v>
      </c>
      <c r="D56" s="471"/>
      <c r="E56" s="357" t="s">
        <v>345</v>
      </c>
      <c r="F56" s="358" t="s">
        <v>183</v>
      </c>
      <c r="G56" s="356">
        <v>61200</v>
      </c>
      <c r="H56" s="356">
        <v>59900</v>
      </c>
      <c r="I56" s="356">
        <v>56300</v>
      </c>
      <c r="J56" s="356">
        <v>55700</v>
      </c>
      <c r="K56" s="356">
        <v>56300</v>
      </c>
      <c r="L56" s="356">
        <v>58150</v>
      </c>
      <c r="M56" s="356">
        <v>53250</v>
      </c>
      <c r="N56" s="356">
        <v>56120</v>
      </c>
      <c r="O56" s="356">
        <v>54550</v>
      </c>
      <c r="P56" s="356">
        <v>53770</v>
      </c>
      <c r="Q56" s="356">
        <v>49150</v>
      </c>
      <c r="R56" s="357">
        <v>50422</v>
      </c>
      <c r="S56" s="472">
        <v>63830</v>
      </c>
      <c r="T56" s="472">
        <v>65270</v>
      </c>
      <c r="U56" s="472">
        <v>63660</v>
      </c>
      <c r="V56" s="472">
        <v>62890</v>
      </c>
      <c r="W56" s="472">
        <v>59990</v>
      </c>
      <c r="X56" s="472">
        <v>61910</v>
      </c>
      <c r="Y56" s="472">
        <v>63893.9</v>
      </c>
      <c r="Z56" s="472">
        <v>65649.599999999991</v>
      </c>
      <c r="AA56" s="472">
        <v>65504.1</v>
      </c>
      <c r="AB56" s="472">
        <v>65533.2</v>
      </c>
      <c r="AC56" s="472">
        <v>66086.099999999991</v>
      </c>
      <c r="AD56" s="472">
        <v>66018.2</v>
      </c>
      <c r="AE56" s="472">
        <v>67706</v>
      </c>
      <c r="AF56" s="472">
        <v>69975.8</v>
      </c>
      <c r="AG56" s="472">
        <v>72653</v>
      </c>
      <c r="AH56" s="472">
        <v>72400.800000000003</v>
      </c>
      <c r="AI56" s="472">
        <v>72526.899999999994</v>
      </c>
      <c r="AJ56" s="472">
        <v>73943.099999999991</v>
      </c>
      <c r="AK56" s="472">
        <v>74253.5</v>
      </c>
      <c r="AL56" s="472">
        <v>70616</v>
      </c>
      <c r="AM56" s="472">
        <v>68452.899999999994</v>
      </c>
      <c r="AN56" s="472">
        <v>69209.5</v>
      </c>
      <c r="AO56" s="472">
        <v>68404.399999999994</v>
      </c>
      <c r="AP56" s="472">
        <v>68520.800000000003</v>
      </c>
      <c r="AQ56" s="472">
        <v>70034</v>
      </c>
      <c r="AR56" s="472">
        <v>70257.099999999991</v>
      </c>
      <c r="AS56" s="472">
        <v>66367.399999999994</v>
      </c>
      <c r="AT56" s="473">
        <v>66823.3</v>
      </c>
      <c r="AU56" s="472">
        <v>68191</v>
      </c>
      <c r="AV56" s="472">
        <v>74650</v>
      </c>
      <c r="AW56" s="472">
        <v>74650</v>
      </c>
      <c r="AX56" s="472">
        <v>74038</v>
      </c>
      <c r="AY56" s="472">
        <v>77038</v>
      </c>
      <c r="AZ56" s="472">
        <v>85370</v>
      </c>
      <c r="BA56" s="472">
        <v>86820</v>
      </c>
      <c r="BB56" s="472">
        <v>87660</v>
      </c>
      <c r="BC56" s="472">
        <v>84450</v>
      </c>
      <c r="BD56" s="472">
        <v>87130</v>
      </c>
      <c r="BE56" s="472">
        <v>85840</v>
      </c>
      <c r="BF56" s="474">
        <v>69920</v>
      </c>
      <c r="BG56" s="474">
        <v>73060</v>
      </c>
      <c r="BH56" s="474">
        <v>73390</v>
      </c>
      <c r="BI56" s="474">
        <v>71080</v>
      </c>
      <c r="BJ56" s="474">
        <v>71100</v>
      </c>
      <c r="BK56" s="474">
        <v>69220</v>
      </c>
      <c r="BL56" s="474">
        <v>73140</v>
      </c>
      <c r="BM56" s="474">
        <v>75100</v>
      </c>
      <c r="BN56" s="474">
        <v>76560</v>
      </c>
      <c r="BO56" s="474">
        <v>75820</v>
      </c>
      <c r="BP56" s="474">
        <v>74240</v>
      </c>
      <c r="BQ56" s="474">
        <v>74180</v>
      </c>
      <c r="BR56" s="474">
        <v>74790</v>
      </c>
      <c r="BS56" s="474">
        <v>76180</v>
      </c>
      <c r="BT56" s="474">
        <v>75130</v>
      </c>
      <c r="BU56" s="474">
        <v>70280</v>
      </c>
      <c r="BV56" s="474">
        <v>65840</v>
      </c>
      <c r="BW56" s="474">
        <v>73050</v>
      </c>
      <c r="BX56" s="474">
        <v>75370</v>
      </c>
      <c r="BY56" s="474">
        <v>78360</v>
      </c>
      <c r="BZ56" s="474">
        <v>85450</v>
      </c>
      <c r="CA56" s="474">
        <v>93490</v>
      </c>
      <c r="CB56" s="474">
        <v>98520</v>
      </c>
      <c r="CC56" s="474">
        <v>110130</v>
      </c>
      <c r="CD56" s="474">
        <v>118350</v>
      </c>
      <c r="CE56" s="474">
        <v>118720</v>
      </c>
      <c r="CF56" s="474">
        <v>122550</v>
      </c>
      <c r="CG56" s="474">
        <v>127300</v>
      </c>
      <c r="CH56" s="474">
        <v>129000</v>
      </c>
      <c r="CI56" s="474">
        <v>124550</v>
      </c>
      <c r="CJ56" s="474">
        <v>118450</v>
      </c>
      <c r="CK56" s="474">
        <v>112300</v>
      </c>
      <c r="CL56" s="475">
        <v>115700</v>
      </c>
      <c r="CM56" s="75">
        <f t="shared" si="24"/>
        <v>75992.245238095231</v>
      </c>
      <c r="CN56" s="58"/>
      <c r="CO56" s="58"/>
      <c r="CP56" s="58"/>
      <c r="CQ56" s="58"/>
      <c r="CR56" s="58"/>
      <c r="CS56" s="58"/>
      <c r="CT56" s="58"/>
      <c r="CU56" s="58"/>
      <c r="CV56" s="58"/>
      <c r="CW56" s="58"/>
      <c r="CX56" s="58"/>
      <c r="CY56" s="58"/>
      <c r="CZ56" s="58"/>
      <c r="DA56" s="58"/>
      <c r="DB56" s="58"/>
      <c r="DC56" s="58"/>
      <c r="DD56" s="58"/>
      <c r="DE56" s="58"/>
      <c r="DF56" s="58"/>
      <c r="DG56" s="58"/>
      <c r="DH56" s="58"/>
      <c r="DI56" s="58"/>
      <c r="DJ56" s="58"/>
      <c r="DK56" s="58"/>
      <c r="DL56" s="58"/>
      <c r="DM56" s="58"/>
      <c r="DN56" s="58"/>
      <c r="DO56" s="58"/>
      <c r="DP56" s="58"/>
      <c r="DQ56" s="58"/>
      <c r="DR56" s="58"/>
      <c r="DS56" s="58"/>
      <c r="DT56" s="58"/>
      <c r="DU56" s="58"/>
      <c r="DV56" s="58"/>
      <c r="DW56" s="58"/>
      <c r="DX56" s="58"/>
      <c r="DY56" s="58"/>
      <c r="DZ56" s="58"/>
      <c r="EA56" s="58"/>
      <c r="EB56" s="58"/>
      <c r="EC56" s="58"/>
      <c r="ED56" s="58"/>
      <c r="EE56" s="58"/>
      <c r="EF56" s="58"/>
      <c r="EG56" s="58"/>
      <c r="EH56" s="58"/>
      <c r="EI56" s="58"/>
      <c r="EJ56" s="58"/>
      <c r="EK56" s="58"/>
      <c r="EL56" s="58"/>
      <c r="EM56" s="58"/>
      <c r="EN56" s="58"/>
      <c r="EO56" s="58"/>
      <c r="EP56" s="58"/>
      <c r="EQ56" s="58"/>
      <c r="ER56" s="58"/>
      <c r="ES56" s="58"/>
      <c r="ET56" s="58"/>
      <c r="EU56" s="58"/>
      <c r="EV56" s="58"/>
      <c r="EW56" s="58"/>
      <c r="EX56" s="58"/>
      <c r="EY56" s="58"/>
      <c r="EZ56" s="58"/>
      <c r="FA56" s="58"/>
      <c r="FB56" s="58"/>
      <c r="FC56" s="58"/>
      <c r="FD56" s="58"/>
      <c r="FE56" s="58"/>
      <c r="FF56" s="58"/>
      <c r="FG56" s="58"/>
      <c r="FH56" s="58"/>
      <c r="FI56" s="58"/>
      <c r="FJ56" s="58"/>
      <c r="FK56" s="58"/>
      <c r="FL56" s="58"/>
      <c r="FM56" s="58"/>
      <c r="FN56" s="58"/>
      <c r="FO56" s="58"/>
      <c r="FP56" s="58"/>
      <c r="FQ56" s="58"/>
      <c r="FR56" s="58"/>
      <c r="FS56" s="58"/>
      <c r="FT56" s="58"/>
      <c r="FU56" s="58"/>
      <c r="FV56" s="58"/>
    </row>
    <row r="57" spans="1:178">
      <c r="A57" s="1062"/>
      <c r="B57" s="224" t="s">
        <v>312</v>
      </c>
      <c r="C57" s="367" t="s">
        <v>344</v>
      </c>
      <c r="D57" s="476"/>
      <c r="E57" s="236" t="s">
        <v>352</v>
      </c>
      <c r="F57" s="978" t="s">
        <v>346</v>
      </c>
      <c r="G57" s="367">
        <v>77300</v>
      </c>
      <c r="H57" s="367">
        <v>75200</v>
      </c>
      <c r="I57" s="367">
        <v>72150</v>
      </c>
      <c r="J57" s="367">
        <v>70700</v>
      </c>
      <c r="K57" s="367">
        <v>71399</v>
      </c>
      <c r="L57" s="367">
        <v>74500</v>
      </c>
      <c r="M57" s="367">
        <v>72800</v>
      </c>
      <c r="N57" s="367">
        <v>69900</v>
      </c>
      <c r="O57" s="367">
        <v>65300</v>
      </c>
      <c r="P57" s="367">
        <v>67800</v>
      </c>
      <c r="Q57" s="367">
        <v>65900</v>
      </c>
      <c r="R57" s="236">
        <v>63400</v>
      </c>
      <c r="S57" s="477">
        <f t="shared" ref="S57:AS57" si="75">S56*0.95</f>
        <v>60638.5</v>
      </c>
      <c r="T57" s="477">
        <f t="shared" si="75"/>
        <v>62006.5</v>
      </c>
      <c r="U57" s="477">
        <f t="shared" si="75"/>
        <v>60477</v>
      </c>
      <c r="V57" s="477">
        <f t="shared" si="75"/>
        <v>59745.5</v>
      </c>
      <c r="W57" s="477">
        <f t="shared" si="75"/>
        <v>56990.5</v>
      </c>
      <c r="X57" s="477">
        <f t="shared" si="75"/>
        <v>58814.5</v>
      </c>
      <c r="Y57" s="477">
        <f t="shared" si="75"/>
        <v>60699.205000000002</v>
      </c>
      <c r="Z57" s="477">
        <f t="shared" si="75"/>
        <v>62367.119999999988</v>
      </c>
      <c r="AA57" s="477">
        <f t="shared" si="75"/>
        <v>62228.894999999997</v>
      </c>
      <c r="AB57" s="477">
        <f t="shared" si="75"/>
        <v>62256.539999999994</v>
      </c>
      <c r="AC57" s="477">
        <f t="shared" si="75"/>
        <v>62781.794999999991</v>
      </c>
      <c r="AD57" s="477">
        <f t="shared" si="75"/>
        <v>62717.289999999994</v>
      </c>
      <c r="AE57" s="477">
        <f t="shared" si="75"/>
        <v>64320.7</v>
      </c>
      <c r="AF57" s="477">
        <f t="shared" si="75"/>
        <v>66477.009999999995</v>
      </c>
      <c r="AG57" s="477">
        <f t="shared" si="75"/>
        <v>69020.349999999991</v>
      </c>
      <c r="AH57" s="477">
        <f t="shared" si="75"/>
        <v>68780.759999999995</v>
      </c>
      <c r="AI57" s="477">
        <f t="shared" si="75"/>
        <v>68900.554999999993</v>
      </c>
      <c r="AJ57" s="477">
        <f t="shared" si="75"/>
        <v>70245.944999999992</v>
      </c>
      <c r="AK57" s="477">
        <f t="shared" si="75"/>
        <v>70540.824999999997</v>
      </c>
      <c r="AL57" s="477">
        <f t="shared" si="75"/>
        <v>67085.2</v>
      </c>
      <c r="AM57" s="477">
        <f t="shared" si="75"/>
        <v>65030.25499999999</v>
      </c>
      <c r="AN57" s="477">
        <f t="shared" si="75"/>
        <v>65749.024999999994</v>
      </c>
      <c r="AO57" s="477">
        <f t="shared" si="75"/>
        <v>64984.179999999993</v>
      </c>
      <c r="AP57" s="477">
        <f t="shared" si="75"/>
        <v>65094.76</v>
      </c>
      <c r="AQ57" s="477">
        <f t="shared" si="75"/>
        <v>66532.3</v>
      </c>
      <c r="AR57" s="477">
        <f t="shared" si="75"/>
        <v>66744.244999999995</v>
      </c>
      <c r="AS57" s="477">
        <f t="shared" si="75"/>
        <v>63049.029999999992</v>
      </c>
      <c r="AT57" s="477">
        <f>AT56*0.95</f>
        <v>63482.135000000002</v>
      </c>
      <c r="AU57" s="477">
        <f t="shared" ref="AU57:CL57" si="76">AU56*0.95</f>
        <v>64781.45</v>
      </c>
      <c r="AV57" s="477">
        <f t="shared" si="76"/>
        <v>70917.5</v>
      </c>
      <c r="AW57" s="477">
        <f t="shared" si="76"/>
        <v>70917.5</v>
      </c>
      <c r="AX57" s="477">
        <f t="shared" si="76"/>
        <v>70336.099999999991</v>
      </c>
      <c r="AY57" s="477">
        <f t="shared" si="76"/>
        <v>73186.099999999991</v>
      </c>
      <c r="AZ57" s="477">
        <f t="shared" si="76"/>
        <v>81101.5</v>
      </c>
      <c r="BA57" s="477">
        <f t="shared" si="76"/>
        <v>82479</v>
      </c>
      <c r="BB57" s="477">
        <f t="shared" si="76"/>
        <v>83277</v>
      </c>
      <c r="BC57" s="477">
        <f t="shared" si="76"/>
        <v>80227.5</v>
      </c>
      <c r="BD57" s="477">
        <f t="shared" si="76"/>
        <v>82773.5</v>
      </c>
      <c r="BE57" s="477">
        <f t="shared" si="76"/>
        <v>81548</v>
      </c>
      <c r="BF57" s="478">
        <f t="shared" si="76"/>
        <v>66424</v>
      </c>
      <c r="BG57" s="478">
        <f t="shared" si="76"/>
        <v>69407</v>
      </c>
      <c r="BH57" s="478">
        <f t="shared" si="76"/>
        <v>69720.5</v>
      </c>
      <c r="BI57" s="478">
        <f t="shared" si="76"/>
        <v>67526</v>
      </c>
      <c r="BJ57" s="478">
        <f t="shared" si="76"/>
        <v>67545</v>
      </c>
      <c r="BK57" s="478">
        <f t="shared" si="76"/>
        <v>65759</v>
      </c>
      <c r="BL57" s="478">
        <f t="shared" si="76"/>
        <v>69483</v>
      </c>
      <c r="BM57" s="478">
        <f t="shared" si="76"/>
        <v>71345</v>
      </c>
      <c r="BN57" s="478">
        <f t="shared" si="76"/>
        <v>72732</v>
      </c>
      <c r="BO57" s="478">
        <f t="shared" si="76"/>
        <v>72029</v>
      </c>
      <c r="BP57" s="478">
        <f t="shared" si="76"/>
        <v>70528</v>
      </c>
      <c r="BQ57" s="478">
        <f t="shared" si="76"/>
        <v>70471</v>
      </c>
      <c r="BR57" s="478">
        <f t="shared" si="76"/>
        <v>71050.5</v>
      </c>
      <c r="BS57" s="478">
        <f t="shared" si="76"/>
        <v>72371</v>
      </c>
      <c r="BT57" s="478">
        <f t="shared" si="76"/>
        <v>71373.5</v>
      </c>
      <c r="BU57" s="478">
        <f t="shared" si="76"/>
        <v>66766</v>
      </c>
      <c r="BV57" s="478">
        <f t="shared" si="76"/>
        <v>62548</v>
      </c>
      <c r="BW57" s="478">
        <f t="shared" si="76"/>
        <v>69397.5</v>
      </c>
      <c r="BX57" s="478">
        <f t="shared" si="76"/>
        <v>71601.5</v>
      </c>
      <c r="BY57" s="478">
        <f t="shared" si="76"/>
        <v>74442</v>
      </c>
      <c r="BZ57" s="478">
        <f t="shared" si="76"/>
        <v>81177.5</v>
      </c>
      <c r="CA57" s="478">
        <f t="shared" si="76"/>
        <v>88815.5</v>
      </c>
      <c r="CB57" s="478">
        <f t="shared" si="76"/>
        <v>93594</v>
      </c>
      <c r="CC57" s="478">
        <f t="shared" si="76"/>
        <v>104623.5</v>
      </c>
      <c r="CD57" s="478">
        <f t="shared" si="76"/>
        <v>112432.5</v>
      </c>
      <c r="CE57" s="478">
        <f t="shared" si="76"/>
        <v>112784</v>
      </c>
      <c r="CF57" s="478">
        <f t="shared" si="76"/>
        <v>116422.5</v>
      </c>
      <c r="CG57" s="478">
        <f t="shared" si="76"/>
        <v>120935</v>
      </c>
      <c r="CH57" s="478">
        <f t="shared" si="76"/>
        <v>122550</v>
      </c>
      <c r="CI57" s="478">
        <f t="shared" si="76"/>
        <v>118322.5</v>
      </c>
      <c r="CJ57" s="478">
        <f t="shared" si="76"/>
        <v>112527.5</v>
      </c>
      <c r="CK57" s="478">
        <f t="shared" si="76"/>
        <v>106685</v>
      </c>
      <c r="CL57" s="479">
        <f t="shared" si="76"/>
        <v>109915</v>
      </c>
      <c r="CM57" s="75">
        <f t="shared" si="24"/>
        <v>74749.509166666656</v>
      </c>
      <c r="CN57" s="58"/>
      <c r="CO57" s="58"/>
      <c r="CP57" s="58"/>
      <c r="CQ57" s="58"/>
      <c r="CR57" s="58"/>
      <c r="CS57" s="58"/>
      <c r="CT57" s="58"/>
      <c r="CU57" s="58"/>
      <c r="CV57" s="58"/>
      <c r="CW57" s="58"/>
      <c r="CX57" s="58"/>
      <c r="CY57" s="58"/>
      <c r="CZ57" s="58"/>
      <c r="DA57" s="58"/>
      <c r="DB57" s="58"/>
      <c r="DC57" s="58"/>
      <c r="DD57" s="58"/>
      <c r="DE57" s="58"/>
      <c r="DF57" s="58"/>
      <c r="DG57" s="58"/>
      <c r="DH57" s="58"/>
      <c r="DI57" s="58"/>
      <c r="DJ57" s="58"/>
      <c r="DK57" s="58"/>
      <c r="DL57" s="58"/>
      <c r="DM57" s="58"/>
      <c r="DN57" s="58"/>
      <c r="DO57" s="58"/>
      <c r="DP57" s="58"/>
      <c r="DQ57" s="58"/>
      <c r="DR57" s="58"/>
      <c r="DS57" s="58"/>
      <c r="DT57" s="58"/>
      <c r="DU57" s="58"/>
      <c r="DV57" s="58"/>
      <c r="DW57" s="58"/>
      <c r="DX57" s="58"/>
      <c r="DY57" s="58"/>
      <c r="DZ57" s="58"/>
      <c r="EA57" s="58"/>
      <c r="EB57" s="58"/>
      <c r="EC57" s="58"/>
      <c r="ED57" s="58"/>
      <c r="EE57" s="58"/>
      <c r="EF57" s="58"/>
      <c r="EG57" s="58"/>
      <c r="EH57" s="58"/>
      <c r="EI57" s="58"/>
      <c r="EJ57" s="58"/>
      <c r="EK57" s="58"/>
      <c r="EL57" s="58"/>
      <c r="EM57" s="58"/>
      <c r="EN57" s="58"/>
      <c r="EO57" s="58"/>
      <c r="EP57" s="58"/>
      <c r="EQ57" s="58"/>
      <c r="ER57" s="58"/>
      <c r="ES57" s="58"/>
      <c r="ET57" s="58"/>
      <c r="EU57" s="58"/>
      <c r="EV57" s="58"/>
      <c r="EW57" s="58"/>
      <c r="EX57" s="58"/>
      <c r="EY57" s="58"/>
      <c r="EZ57" s="58"/>
      <c r="FA57" s="58"/>
      <c r="FB57" s="58"/>
      <c r="FC57" s="58"/>
      <c r="FD57" s="58"/>
      <c r="FE57" s="58"/>
      <c r="FF57" s="58"/>
      <c r="FG57" s="58"/>
      <c r="FH57" s="58"/>
      <c r="FI57" s="58"/>
      <c r="FJ57" s="58"/>
      <c r="FK57" s="58"/>
      <c r="FL57" s="58"/>
      <c r="FM57" s="58"/>
      <c r="FN57" s="58"/>
      <c r="FO57" s="58"/>
      <c r="FP57" s="58"/>
      <c r="FQ57" s="58"/>
      <c r="FR57" s="58"/>
      <c r="FS57" s="58"/>
      <c r="FT57" s="58"/>
      <c r="FU57" s="58"/>
      <c r="FV57" s="58"/>
    </row>
    <row r="58" spans="1:178">
      <c r="A58" s="58"/>
      <c r="B58" s="58"/>
      <c r="C58" s="58"/>
      <c r="D58" s="58"/>
      <c r="E58" s="58"/>
      <c r="F58" s="480"/>
      <c r="G58" s="480"/>
      <c r="H58" s="480"/>
      <c r="I58" s="480"/>
      <c r="J58" s="480"/>
      <c r="K58" s="480"/>
      <c r="L58" s="480"/>
      <c r="M58" s="480"/>
      <c r="N58" s="480"/>
      <c r="O58" s="480"/>
      <c r="P58" s="480"/>
      <c r="Q58" s="480"/>
      <c r="R58" s="480"/>
      <c r="S58" s="481"/>
      <c r="T58" s="481"/>
      <c r="U58" s="481"/>
      <c r="V58" s="481"/>
      <c r="W58" s="481"/>
      <c r="X58" s="481"/>
      <c r="Y58" s="481"/>
      <c r="Z58" s="481"/>
      <c r="AA58" s="481"/>
      <c r="AB58" s="481"/>
      <c r="AC58" s="481"/>
      <c r="AD58" s="481"/>
      <c r="AE58" s="481"/>
      <c r="AF58" s="481"/>
      <c r="AG58" s="481"/>
      <c r="AH58" s="481"/>
      <c r="AI58" s="481"/>
      <c r="AJ58" s="481"/>
      <c r="AK58" s="481"/>
      <c r="AL58" s="481"/>
      <c r="AM58" s="481"/>
      <c r="AN58" s="481"/>
      <c r="AO58" s="481"/>
      <c r="AP58" s="481"/>
      <c r="AQ58" s="481"/>
      <c r="AR58" s="481"/>
      <c r="AS58" s="481"/>
      <c r="AT58" s="482">
        <v>8000</v>
      </c>
      <c r="AU58" s="481"/>
      <c r="AV58" s="481"/>
      <c r="AW58" s="481"/>
      <c r="AX58" s="481"/>
      <c r="AY58" s="481"/>
      <c r="AZ58" s="481"/>
      <c r="BA58" s="481"/>
      <c r="BB58" s="481"/>
      <c r="BC58" s="481"/>
      <c r="BD58" s="481"/>
      <c r="BE58" s="481"/>
      <c r="BF58" s="481"/>
      <c r="BG58" s="481"/>
      <c r="BH58" s="481"/>
      <c r="BI58" s="481"/>
      <c r="BJ58" s="481"/>
      <c r="BK58" s="481"/>
      <c r="BL58" s="481"/>
      <c r="BM58" s="481"/>
      <c r="BN58" s="481"/>
      <c r="BO58" s="481"/>
      <c r="BP58" s="481"/>
      <c r="BQ58" s="481"/>
      <c r="BR58" s="481"/>
      <c r="BS58" s="481"/>
      <c r="BT58" s="481"/>
      <c r="BU58" s="481"/>
      <c r="BV58" s="481"/>
      <c r="BW58" s="481"/>
      <c r="BX58" s="481"/>
      <c r="BY58" s="481"/>
      <c r="BZ58" s="481"/>
      <c r="CA58" s="481"/>
      <c r="CB58" s="481"/>
      <c r="CC58" s="481"/>
      <c r="CD58" s="481"/>
      <c r="CE58" s="481"/>
      <c r="CF58" s="481"/>
      <c r="CG58" s="481"/>
      <c r="CH58" s="481"/>
      <c r="CI58" s="481"/>
      <c r="CJ58" s="481"/>
      <c r="CK58" s="481"/>
      <c r="CL58" s="481"/>
      <c r="CM58" s="415"/>
      <c r="CN58" s="58"/>
      <c r="CO58" s="58"/>
      <c r="CP58" s="58"/>
      <c r="CQ58" s="58"/>
      <c r="CR58" s="58"/>
      <c r="CS58" s="58"/>
      <c r="CT58" s="58"/>
      <c r="CU58" s="58"/>
      <c r="CV58" s="58"/>
      <c r="CW58" s="58"/>
      <c r="CX58" s="58"/>
      <c r="CY58" s="58"/>
      <c r="CZ58" s="58"/>
      <c r="DA58" s="58"/>
      <c r="DB58" s="58"/>
      <c r="DC58" s="58"/>
      <c r="DD58" s="58"/>
      <c r="DE58" s="58"/>
      <c r="DF58" s="58"/>
      <c r="DG58" s="58"/>
      <c r="DH58" s="58"/>
      <c r="DI58" s="58"/>
      <c r="DJ58" s="58"/>
      <c r="DK58" s="58"/>
      <c r="DL58" s="58"/>
      <c r="DM58" s="58"/>
      <c r="DN58" s="58"/>
      <c r="DO58" s="58"/>
      <c r="DP58" s="58"/>
      <c r="DQ58" s="58"/>
      <c r="DR58" s="58"/>
      <c r="DS58" s="58"/>
      <c r="DT58" s="58"/>
      <c r="DU58" s="58"/>
      <c r="DV58" s="58"/>
      <c r="DW58" s="58"/>
      <c r="DX58" s="58"/>
      <c r="DY58" s="58"/>
      <c r="DZ58" s="58"/>
      <c r="EA58" s="58"/>
      <c r="EB58" s="58"/>
      <c r="EC58" s="58"/>
      <c r="ED58" s="58"/>
      <c r="EE58" s="58"/>
      <c r="EF58" s="58"/>
      <c r="EG58" s="58"/>
      <c r="EH58" s="58"/>
      <c r="EI58" s="58"/>
      <c r="EJ58" s="58"/>
      <c r="EK58" s="58"/>
      <c r="EL58" s="58"/>
      <c r="EM58" s="58"/>
      <c r="EN58" s="58"/>
      <c r="EO58" s="58"/>
      <c r="EP58" s="58"/>
      <c r="EQ58" s="58"/>
      <c r="ER58" s="58"/>
      <c r="ES58" s="58"/>
      <c r="ET58" s="58"/>
      <c r="EU58" s="58"/>
      <c r="EV58" s="58"/>
      <c r="EW58" s="58"/>
      <c r="EX58" s="58"/>
      <c r="EY58" s="58"/>
      <c r="EZ58" s="58"/>
      <c r="FA58" s="58"/>
      <c r="FB58" s="58"/>
      <c r="FC58" s="58"/>
      <c r="FD58" s="58"/>
      <c r="FE58" s="58"/>
      <c r="FF58" s="58"/>
      <c r="FG58" s="58"/>
      <c r="FH58" s="58"/>
      <c r="FI58" s="58"/>
      <c r="FJ58" s="58"/>
      <c r="FK58" s="58"/>
      <c r="FL58" s="58"/>
      <c r="FM58" s="58"/>
      <c r="FN58" s="58"/>
      <c r="FO58" s="58"/>
      <c r="FP58" s="58"/>
      <c r="FQ58" s="58"/>
      <c r="FR58" s="58"/>
      <c r="FS58" s="58"/>
      <c r="FT58" s="58"/>
      <c r="FU58" s="58"/>
      <c r="FV58" s="58"/>
    </row>
    <row r="59" spans="1:178" ht="12.75" customHeight="1">
      <c r="A59" s="1055" t="s">
        <v>420</v>
      </c>
      <c r="B59" s="1055"/>
      <c r="C59" s="1055"/>
      <c r="D59" s="1055"/>
      <c r="E59" s="1056"/>
      <c r="F59" s="483" t="s">
        <v>184</v>
      </c>
      <c r="G59" s="483"/>
      <c r="H59" s="483"/>
      <c r="I59" s="483"/>
      <c r="J59" s="483"/>
      <c r="K59" s="483"/>
      <c r="L59" s="483"/>
      <c r="M59" s="483"/>
      <c r="N59" s="483"/>
      <c r="O59" s="483"/>
      <c r="P59" s="483"/>
      <c r="Q59" s="483"/>
      <c r="R59" s="483"/>
      <c r="S59" s="484"/>
      <c r="T59" s="484"/>
      <c r="U59" s="484"/>
      <c r="V59" s="484"/>
      <c r="W59" s="484"/>
      <c r="X59" s="484"/>
      <c r="Y59" s="484"/>
      <c r="Z59" s="484"/>
      <c r="AA59" s="484"/>
      <c r="AB59" s="484"/>
      <c r="AC59" s="484"/>
      <c r="AD59" s="484"/>
      <c r="AE59" s="484"/>
      <c r="AF59" s="484"/>
      <c r="AG59" s="484"/>
      <c r="AH59" s="484"/>
      <c r="AI59" s="484"/>
      <c r="AJ59" s="484"/>
      <c r="AK59" s="484"/>
      <c r="AL59" s="484"/>
      <c r="AM59" s="484"/>
      <c r="AN59" s="484"/>
      <c r="AO59" s="484"/>
      <c r="AP59" s="484"/>
      <c r="AQ59" s="484"/>
      <c r="AR59" s="484"/>
      <c r="AS59" s="484"/>
      <c r="AT59" s="485"/>
      <c r="AU59" s="359"/>
      <c r="AV59" s="359"/>
      <c r="AW59" s="359"/>
      <c r="AX59" s="359"/>
      <c r="AY59" s="359"/>
      <c r="AZ59" s="359"/>
      <c r="BA59" s="359"/>
      <c r="BB59" s="359"/>
      <c r="BC59" s="359"/>
      <c r="BD59" s="359"/>
      <c r="BE59" s="359"/>
      <c r="BF59" s="359"/>
      <c r="BG59" s="359"/>
      <c r="BH59" s="359"/>
      <c r="BI59" s="359"/>
      <c r="BJ59" s="359"/>
      <c r="BK59" s="359"/>
      <c r="BL59" s="359"/>
      <c r="BM59" s="359"/>
      <c r="BN59" s="359"/>
      <c r="BO59" s="359"/>
      <c r="BP59" s="359"/>
      <c r="BQ59" s="359"/>
      <c r="BR59" s="359"/>
      <c r="BS59" s="359"/>
      <c r="BT59" s="359"/>
      <c r="BU59" s="359"/>
      <c r="BV59" s="359"/>
      <c r="BW59" s="359"/>
      <c r="BX59" s="359"/>
      <c r="BY59" s="359"/>
      <c r="BZ59" s="359"/>
      <c r="CA59" s="359"/>
      <c r="CB59" s="359"/>
      <c r="CC59" s="359"/>
      <c r="CD59" s="359"/>
      <c r="CE59" s="359"/>
      <c r="CF59" s="359"/>
      <c r="CG59" s="359"/>
      <c r="CH59" s="359"/>
      <c r="CI59" s="359"/>
      <c r="CJ59" s="359"/>
      <c r="CK59" s="359"/>
      <c r="CL59" s="359"/>
      <c r="CM59" s="484"/>
      <c r="CN59" s="58"/>
      <c r="CO59" s="58"/>
      <c r="CP59" s="58"/>
      <c r="CQ59" s="58"/>
      <c r="CR59" s="58"/>
      <c r="CS59" s="58"/>
      <c r="CT59" s="58"/>
      <c r="CU59" s="58"/>
      <c r="CV59" s="58"/>
      <c r="CW59" s="58"/>
      <c r="CX59" s="58"/>
      <c r="CY59" s="58"/>
      <c r="CZ59" s="58"/>
      <c r="DA59" s="58"/>
      <c r="DB59" s="58"/>
      <c r="DC59" s="58"/>
      <c r="DD59" s="58"/>
      <c r="DE59" s="58"/>
      <c r="DF59" s="58"/>
      <c r="DG59" s="58"/>
      <c r="DH59" s="58"/>
      <c r="DI59" s="58"/>
      <c r="DJ59" s="58"/>
      <c r="DK59" s="58"/>
      <c r="DL59" s="58"/>
      <c r="DM59" s="58"/>
      <c r="DN59" s="58"/>
      <c r="DO59" s="58"/>
      <c r="DP59" s="58"/>
      <c r="DQ59" s="58"/>
      <c r="DR59" s="58"/>
      <c r="DS59" s="58"/>
      <c r="DT59" s="58"/>
      <c r="DU59" s="58"/>
      <c r="DV59" s="58"/>
      <c r="DW59" s="58"/>
      <c r="DX59" s="58"/>
      <c r="DY59" s="58"/>
      <c r="DZ59" s="58"/>
      <c r="EA59" s="58"/>
      <c r="EB59" s="58"/>
      <c r="EC59" s="58"/>
      <c r="ED59" s="58"/>
      <c r="EE59" s="58"/>
      <c r="EF59" s="58"/>
      <c r="EG59" s="58"/>
      <c r="EH59" s="58"/>
      <c r="EI59" s="58"/>
      <c r="EJ59" s="58"/>
      <c r="EK59" s="58"/>
      <c r="EL59" s="58"/>
      <c r="EM59" s="58"/>
      <c r="EN59" s="58"/>
      <c r="EO59" s="58"/>
      <c r="EP59" s="58"/>
      <c r="EQ59" s="58"/>
      <c r="ER59" s="58"/>
      <c r="ES59" s="58"/>
      <c r="ET59" s="58"/>
      <c r="EU59" s="58"/>
      <c r="EV59" s="58"/>
      <c r="EW59" s="58"/>
      <c r="EX59" s="58"/>
      <c r="EY59" s="58"/>
      <c r="EZ59" s="58"/>
      <c r="FA59" s="58"/>
      <c r="FB59" s="58"/>
      <c r="FC59" s="58"/>
      <c r="FD59" s="58"/>
      <c r="FE59" s="58"/>
      <c r="FF59" s="58"/>
      <c r="FG59" s="58"/>
      <c r="FH59" s="58"/>
      <c r="FI59" s="58"/>
      <c r="FJ59" s="58"/>
      <c r="FK59" s="58"/>
      <c r="FL59" s="58"/>
      <c r="FM59" s="58"/>
      <c r="FN59" s="58"/>
      <c r="FO59" s="58"/>
      <c r="FP59" s="58"/>
      <c r="FQ59" s="58"/>
      <c r="FR59" s="58"/>
      <c r="FS59" s="58"/>
      <c r="FT59" s="58"/>
      <c r="FU59" s="58"/>
      <c r="FV59" s="58"/>
    </row>
    <row r="60" spans="1:178">
      <c r="A60" s="1055"/>
      <c r="B60" s="1055"/>
      <c r="C60" s="1055"/>
      <c r="D60" s="1055"/>
      <c r="E60" s="1056"/>
      <c r="F60" s="363" t="s">
        <v>185</v>
      </c>
      <c r="G60" s="482">
        <f t="shared" ref="G60:BR61" si="77">G42</f>
        <v>6515410.0640951805</v>
      </c>
      <c r="H60" s="482">
        <f t="shared" si="77"/>
        <v>6515410.0640951805</v>
      </c>
      <c r="I60" s="482">
        <f t="shared" si="77"/>
        <v>6515410.0640951805</v>
      </c>
      <c r="J60" s="482">
        <f t="shared" si="77"/>
        <v>6515410.0640951805</v>
      </c>
      <c r="K60" s="482">
        <f t="shared" si="77"/>
        <v>6515410.0640951805</v>
      </c>
      <c r="L60" s="482">
        <f t="shared" si="77"/>
        <v>6515410.0640951805</v>
      </c>
      <c r="M60" s="482">
        <f t="shared" si="77"/>
        <v>6515410.0640951805</v>
      </c>
      <c r="N60" s="482">
        <f t="shared" si="77"/>
        <v>6515410.0640951805</v>
      </c>
      <c r="O60" s="482">
        <f t="shared" si="77"/>
        <v>6515410.0640951805</v>
      </c>
      <c r="P60" s="482">
        <f t="shared" si="77"/>
        <v>6515410.0640951805</v>
      </c>
      <c r="Q60" s="482">
        <f t="shared" si="77"/>
        <v>6515410.0640951805</v>
      </c>
      <c r="R60" s="482">
        <f t="shared" si="77"/>
        <v>6515410.0640951805</v>
      </c>
      <c r="S60" s="482">
        <f t="shared" si="77"/>
        <v>6515410.0640951805</v>
      </c>
      <c r="T60" s="482">
        <f t="shared" si="77"/>
        <v>6515410.0640951805</v>
      </c>
      <c r="U60" s="482">
        <f t="shared" si="77"/>
        <v>6515410.0640951805</v>
      </c>
      <c r="V60" s="482">
        <f t="shared" si="77"/>
        <v>6515410.0640951805</v>
      </c>
      <c r="W60" s="482">
        <f t="shared" si="77"/>
        <v>6515410.0640951805</v>
      </c>
      <c r="X60" s="482">
        <f t="shared" si="77"/>
        <v>6515410.0640951805</v>
      </c>
      <c r="Y60" s="482">
        <f t="shared" si="77"/>
        <v>6515410.0640951805</v>
      </c>
      <c r="Z60" s="482">
        <f t="shared" si="77"/>
        <v>6515410.0640951805</v>
      </c>
      <c r="AA60" s="482">
        <f t="shared" si="77"/>
        <v>6515410.0640951805</v>
      </c>
      <c r="AB60" s="482">
        <f t="shared" si="77"/>
        <v>6515410.0640951805</v>
      </c>
      <c r="AC60" s="482">
        <f t="shared" si="77"/>
        <v>6515410.0640951805</v>
      </c>
      <c r="AD60" s="482">
        <f t="shared" si="77"/>
        <v>6515410.0640951805</v>
      </c>
      <c r="AE60" s="482">
        <f t="shared" si="77"/>
        <v>6515410.0640951805</v>
      </c>
      <c r="AF60" s="482">
        <f t="shared" si="77"/>
        <v>6515410.0640951805</v>
      </c>
      <c r="AG60" s="482">
        <f t="shared" si="77"/>
        <v>6515410.0640951805</v>
      </c>
      <c r="AH60" s="482">
        <f t="shared" si="77"/>
        <v>6515410.0640951805</v>
      </c>
      <c r="AI60" s="482">
        <f t="shared" si="77"/>
        <v>6515410.0640951805</v>
      </c>
      <c r="AJ60" s="482">
        <f t="shared" si="77"/>
        <v>6515410.0640951805</v>
      </c>
      <c r="AK60" s="482">
        <f t="shared" si="77"/>
        <v>6515410.0640951805</v>
      </c>
      <c r="AL60" s="482">
        <f t="shared" si="77"/>
        <v>6515410.0640951805</v>
      </c>
      <c r="AM60" s="482">
        <f t="shared" si="77"/>
        <v>6515410.0640951805</v>
      </c>
      <c r="AN60" s="482">
        <f t="shared" si="77"/>
        <v>6515410.0640951805</v>
      </c>
      <c r="AO60" s="482">
        <f t="shared" si="77"/>
        <v>6515410.0640951805</v>
      </c>
      <c r="AP60" s="482">
        <f t="shared" si="77"/>
        <v>6515410.0640951805</v>
      </c>
      <c r="AQ60" s="482">
        <f t="shared" si="77"/>
        <v>6515410.0640951805</v>
      </c>
      <c r="AR60" s="482">
        <f t="shared" si="77"/>
        <v>6515410.0640951805</v>
      </c>
      <c r="AS60" s="482">
        <f t="shared" si="77"/>
        <v>6515410.0640951805</v>
      </c>
      <c r="AT60" s="482">
        <f t="shared" si="77"/>
        <v>6515410.0640951805</v>
      </c>
      <c r="AU60" s="319">
        <f t="shared" si="77"/>
        <v>6515410.0640951805</v>
      </c>
      <c r="AV60" s="319">
        <f t="shared" si="77"/>
        <v>6515410.0640951805</v>
      </c>
      <c r="AW60" s="319">
        <f t="shared" si="77"/>
        <v>6515410.0640951805</v>
      </c>
      <c r="AX60" s="319">
        <f t="shared" si="77"/>
        <v>6515410.0640951805</v>
      </c>
      <c r="AY60" s="319">
        <f t="shared" si="77"/>
        <v>6515410.0640951805</v>
      </c>
      <c r="AZ60" s="319">
        <f t="shared" si="77"/>
        <v>6515410.0640951805</v>
      </c>
      <c r="BA60" s="319">
        <f t="shared" si="77"/>
        <v>6515410.0640951805</v>
      </c>
      <c r="BB60" s="319">
        <f t="shared" si="77"/>
        <v>6515410.0640951805</v>
      </c>
      <c r="BC60" s="319">
        <f t="shared" si="77"/>
        <v>6515410.0640951805</v>
      </c>
      <c r="BD60" s="319">
        <f t="shared" si="77"/>
        <v>6515410.0640951805</v>
      </c>
      <c r="BE60" s="319">
        <f t="shared" si="77"/>
        <v>6515410.0640951805</v>
      </c>
      <c r="BF60" s="319">
        <f t="shared" si="77"/>
        <v>6515410.0640951805</v>
      </c>
      <c r="BG60" s="319">
        <f t="shared" si="77"/>
        <v>6515410.0640951805</v>
      </c>
      <c r="BH60" s="319">
        <f t="shared" si="77"/>
        <v>6515410.0640951805</v>
      </c>
      <c r="BI60" s="319">
        <f t="shared" si="77"/>
        <v>6515410.0640951805</v>
      </c>
      <c r="BJ60" s="319">
        <f t="shared" si="77"/>
        <v>6515410.0640951805</v>
      </c>
      <c r="BK60" s="319">
        <f t="shared" si="77"/>
        <v>6515410.0640951805</v>
      </c>
      <c r="BL60" s="319">
        <f t="shared" si="77"/>
        <v>6515410.0640951805</v>
      </c>
      <c r="BM60" s="319">
        <f t="shared" si="77"/>
        <v>6515410.0640951805</v>
      </c>
      <c r="BN60" s="319">
        <f t="shared" si="77"/>
        <v>6515410.0640951805</v>
      </c>
      <c r="BO60" s="319">
        <f t="shared" si="77"/>
        <v>6515410.0640951805</v>
      </c>
      <c r="BP60" s="319">
        <f t="shared" si="77"/>
        <v>6515410.0640951805</v>
      </c>
      <c r="BQ60" s="319">
        <f t="shared" si="77"/>
        <v>6515410.0640951805</v>
      </c>
      <c r="BR60" s="319">
        <f t="shared" si="77"/>
        <v>6515410.0640951805</v>
      </c>
      <c r="BS60" s="319">
        <f t="shared" ref="BS60:CL61" si="78">BS42</f>
        <v>6515410.0640951805</v>
      </c>
      <c r="BT60" s="319">
        <f t="shared" si="78"/>
        <v>6515410.0640951805</v>
      </c>
      <c r="BU60" s="319">
        <f t="shared" si="78"/>
        <v>6515410.0640951805</v>
      </c>
      <c r="BV60" s="319">
        <f t="shared" si="78"/>
        <v>6515410.0640951805</v>
      </c>
      <c r="BW60" s="319">
        <f t="shared" si="78"/>
        <v>6515410.0640951805</v>
      </c>
      <c r="BX60" s="319">
        <f t="shared" si="78"/>
        <v>6515410.0640951805</v>
      </c>
      <c r="BY60" s="319">
        <f t="shared" si="78"/>
        <v>6515410.0640951805</v>
      </c>
      <c r="BZ60" s="319">
        <f t="shared" si="78"/>
        <v>6515410.0640951805</v>
      </c>
      <c r="CA60" s="319">
        <f t="shared" si="78"/>
        <v>6515410.0640951805</v>
      </c>
      <c r="CB60" s="319">
        <f t="shared" si="78"/>
        <v>6515410.0640951805</v>
      </c>
      <c r="CC60" s="319">
        <f t="shared" si="78"/>
        <v>6515410.0640951805</v>
      </c>
      <c r="CD60" s="319">
        <f t="shared" si="78"/>
        <v>6515410.0640951805</v>
      </c>
      <c r="CE60" s="319">
        <f t="shared" si="78"/>
        <v>6515410.0640951805</v>
      </c>
      <c r="CF60" s="319">
        <f t="shared" si="78"/>
        <v>6515410.0640951805</v>
      </c>
      <c r="CG60" s="319">
        <f t="shared" si="78"/>
        <v>6515410.0640951805</v>
      </c>
      <c r="CH60" s="319">
        <f t="shared" si="78"/>
        <v>6515410.0640951805</v>
      </c>
      <c r="CI60" s="319">
        <f t="shared" si="78"/>
        <v>6515410.0640951805</v>
      </c>
      <c r="CJ60" s="319">
        <f t="shared" si="78"/>
        <v>6515410.0640951805</v>
      </c>
      <c r="CK60" s="319">
        <f t="shared" si="78"/>
        <v>6515410.0640951805</v>
      </c>
      <c r="CL60" s="319">
        <f t="shared" si="78"/>
        <v>6515410.0640951805</v>
      </c>
      <c r="CM60" s="359">
        <f t="shared" ref="CM60:CM66" si="79">AVERAGE(G60:CL60)</f>
        <v>6515410.0640951861</v>
      </c>
      <c r="CN60" s="58"/>
      <c r="CO60" s="58"/>
      <c r="CP60" s="58"/>
      <c r="CQ60" s="58"/>
      <c r="CR60" s="58"/>
      <c r="CS60" s="58"/>
      <c r="CT60" s="58"/>
      <c r="CU60" s="58"/>
      <c r="CV60" s="58"/>
      <c r="CW60" s="58"/>
      <c r="CX60" s="58"/>
      <c r="CY60" s="58"/>
      <c r="CZ60" s="58"/>
      <c r="DA60" s="58"/>
      <c r="DB60" s="58"/>
      <c r="DC60" s="58"/>
      <c r="DD60" s="58"/>
      <c r="DE60" s="58"/>
      <c r="DF60" s="58"/>
      <c r="DG60" s="58"/>
      <c r="DH60" s="58"/>
      <c r="DI60" s="58"/>
      <c r="DJ60" s="58"/>
      <c r="DK60" s="58"/>
      <c r="DL60" s="58"/>
      <c r="DM60" s="58"/>
      <c r="DN60" s="58"/>
      <c r="DO60" s="58"/>
      <c r="DP60" s="58"/>
      <c r="DQ60" s="58"/>
      <c r="DR60" s="58"/>
      <c r="DS60" s="58"/>
      <c r="DT60" s="58"/>
      <c r="DU60" s="58"/>
      <c r="DV60" s="58"/>
      <c r="DW60" s="58"/>
      <c r="DX60" s="58"/>
      <c r="DY60" s="58"/>
      <c r="DZ60" s="58"/>
      <c r="EA60" s="58"/>
      <c r="EB60" s="58"/>
      <c r="EC60" s="58"/>
      <c r="ED60" s="58"/>
      <c r="EE60" s="58"/>
      <c r="EF60" s="58"/>
      <c r="EG60" s="58"/>
      <c r="EH60" s="58"/>
      <c r="EI60" s="58"/>
      <c r="EJ60" s="58"/>
      <c r="EK60" s="58"/>
      <c r="EL60" s="58"/>
      <c r="EM60" s="58"/>
      <c r="EN60" s="58"/>
      <c r="EO60" s="58"/>
      <c r="EP60" s="58"/>
      <c r="EQ60" s="58"/>
      <c r="ER60" s="58"/>
      <c r="ES60" s="58"/>
      <c r="ET60" s="58"/>
      <c r="EU60" s="58"/>
      <c r="EV60" s="58"/>
      <c r="EW60" s="58"/>
      <c r="EX60" s="58"/>
      <c r="EY60" s="58"/>
      <c r="EZ60" s="58"/>
      <c r="FA60" s="58"/>
      <c r="FB60" s="58"/>
      <c r="FC60" s="58"/>
      <c r="FD60" s="58"/>
      <c r="FE60" s="58"/>
      <c r="FF60" s="58"/>
      <c r="FG60" s="58"/>
      <c r="FH60" s="58"/>
      <c r="FI60" s="58"/>
      <c r="FJ60" s="58"/>
      <c r="FK60" s="58"/>
      <c r="FL60" s="58"/>
      <c r="FM60" s="58"/>
      <c r="FN60" s="58"/>
      <c r="FO60" s="58"/>
      <c r="FP60" s="58"/>
      <c r="FQ60" s="58"/>
      <c r="FR60" s="58"/>
      <c r="FS60" s="58"/>
      <c r="FT60" s="58"/>
      <c r="FU60" s="58"/>
      <c r="FV60" s="58"/>
    </row>
    <row r="61" spans="1:178">
      <c r="A61" s="1055"/>
      <c r="B61" s="1055"/>
      <c r="C61" s="1055"/>
      <c r="D61" s="1055"/>
      <c r="E61" s="1056"/>
      <c r="F61" s="363" t="s">
        <v>186</v>
      </c>
      <c r="G61" s="482">
        <f t="shared" si="77"/>
        <v>12796887.139435178</v>
      </c>
      <c r="H61" s="482">
        <f t="shared" si="77"/>
        <v>12796887.139435178</v>
      </c>
      <c r="I61" s="482">
        <f t="shared" si="77"/>
        <v>12796887.139435178</v>
      </c>
      <c r="J61" s="482">
        <f t="shared" si="77"/>
        <v>12796887.139435178</v>
      </c>
      <c r="K61" s="482">
        <f t="shared" si="77"/>
        <v>12796887.139435178</v>
      </c>
      <c r="L61" s="482">
        <f t="shared" si="77"/>
        <v>12796887.139435178</v>
      </c>
      <c r="M61" s="482">
        <f t="shared" si="77"/>
        <v>12796887.139435178</v>
      </c>
      <c r="N61" s="482">
        <f t="shared" si="77"/>
        <v>12796887.139435178</v>
      </c>
      <c r="O61" s="482">
        <f t="shared" si="77"/>
        <v>12796887.139435178</v>
      </c>
      <c r="P61" s="482">
        <f t="shared" si="77"/>
        <v>12796887.139435178</v>
      </c>
      <c r="Q61" s="482">
        <f t="shared" si="77"/>
        <v>12796887.139435178</v>
      </c>
      <c r="R61" s="482">
        <f t="shared" si="77"/>
        <v>12796887.139435178</v>
      </c>
      <c r="S61" s="482">
        <f t="shared" si="77"/>
        <v>12796887.139435178</v>
      </c>
      <c r="T61" s="482">
        <f t="shared" si="77"/>
        <v>12796887.139435178</v>
      </c>
      <c r="U61" s="482">
        <f t="shared" si="77"/>
        <v>12796887.139435178</v>
      </c>
      <c r="V61" s="482">
        <f t="shared" si="77"/>
        <v>12796887.139435178</v>
      </c>
      <c r="W61" s="482">
        <f t="shared" si="77"/>
        <v>12796887.139435178</v>
      </c>
      <c r="X61" s="482">
        <f t="shared" si="77"/>
        <v>12796887.139435178</v>
      </c>
      <c r="Y61" s="482">
        <f t="shared" si="77"/>
        <v>12796887.139435178</v>
      </c>
      <c r="Z61" s="482">
        <f t="shared" si="77"/>
        <v>12796887.139435178</v>
      </c>
      <c r="AA61" s="482">
        <f t="shared" si="77"/>
        <v>12796887.139435178</v>
      </c>
      <c r="AB61" s="482">
        <f t="shared" si="77"/>
        <v>12796887.139435178</v>
      </c>
      <c r="AC61" s="482">
        <f t="shared" si="77"/>
        <v>12796887.139435178</v>
      </c>
      <c r="AD61" s="482">
        <f t="shared" si="77"/>
        <v>12796887.139435178</v>
      </c>
      <c r="AE61" s="482">
        <f t="shared" si="77"/>
        <v>12796887.139435178</v>
      </c>
      <c r="AF61" s="482">
        <f t="shared" si="77"/>
        <v>12796887.139435178</v>
      </c>
      <c r="AG61" s="482">
        <f t="shared" si="77"/>
        <v>12796887.139435178</v>
      </c>
      <c r="AH61" s="482">
        <f t="shared" si="77"/>
        <v>12796887.139435178</v>
      </c>
      <c r="AI61" s="482">
        <f t="shared" si="77"/>
        <v>12796887.139435178</v>
      </c>
      <c r="AJ61" s="482">
        <f t="shared" si="77"/>
        <v>12796887.139435178</v>
      </c>
      <c r="AK61" s="482">
        <f t="shared" si="77"/>
        <v>12796887.139435178</v>
      </c>
      <c r="AL61" s="482">
        <f t="shared" si="77"/>
        <v>12796887.139435178</v>
      </c>
      <c r="AM61" s="482">
        <f t="shared" si="77"/>
        <v>12796887.139435178</v>
      </c>
      <c r="AN61" s="482">
        <f t="shared" si="77"/>
        <v>12796887.139435178</v>
      </c>
      <c r="AO61" s="482">
        <f t="shared" si="77"/>
        <v>12796887.139435178</v>
      </c>
      <c r="AP61" s="482">
        <f t="shared" si="77"/>
        <v>12796887.139435178</v>
      </c>
      <c r="AQ61" s="482">
        <f t="shared" si="77"/>
        <v>12796887.139435178</v>
      </c>
      <c r="AR61" s="482">
        <f t="shared" si="77"/>
        <v>12796887.139435178</v>
      </c>
      <c r="AS61" s="482">
        <f t="shared" si="77"/>
        <v>12796887.139435178</v>
      </c>
      <c r="AT61" s="482">
        <f t="shared" si="77"/>
        <v>12796887.139435178</v>
      </c>
      <c r="AU61" s="319">
        <f t="shared" si="77"/>
        <v>12796887.139435178</v>
      </c>
      <c r="AV61" s="319">
        <f t="shared" si="77"/>
        <v>12796887.139435178</v>
      </c>
      <c r="AW61" s="319">
        <f t="shared" si="77"/>
        <v>12796887.139435178</v>
      </c>
      <c r="AX61" s="319">
        <f t="shared" si="77"/>
        <v>12796887.139435178</v>
      </c>
      <c r="AY61" s="319">
        <f t="shared" si="77"/>
        <v>12796887.139435178</v>
      </c>
      <c r="AZ61" s="319">
        <f t="shared" si="77"/>
        <v>12796887.139435178</v>
      </c>
      <c r="BA61" s="319">
        <f t="shared" si="77"/>
        <v>12796887.139435178</v>
      </c>
      <c r="BB61" s="319">
        <f t="shared" si="77"/>
        <v>12796887.139435178</v>
      </c>
      <c r="BC61" s="319">
        <f t="shared" si="77"/>
        <v>12796887.139435178</v>
      </c>
      <c r="BD61" s="319">
        <f t="shared" si="77"/>
        <v>12796887.139435178</v>
      </c>
      <c r="BE61" s="319">
        <f t="shared" si="77"/>
        <v>12796887.139435178</v>
      </c>
      <c r="BF61" s="319">
        <f t="shared" si="77"/>
        <v>12796887.139435178</v>
      </c>
      <c r="BG61" s="319">
        <f t="shared" si="77"/>
        <v>12796887.139435178</v>
      </c>
      <c r="BH61" s="319">
        <f t="shared" si="77"/>
        <v>12796887.139435178</v>
      </c>
      <c r="BI61" s="319">
        <f t="shared" si="77"/>
        <v>12796887.139435178</v>
      </c>
      <c r="BJ61" s="319">
        <f t="shared" si="77"/>
        <v>12796887.139435178</v>
      </c>
      <c r="BK61" s="319">
        <f t="shared" si="77"/>
        <v>12796887.139435178</v>
      </c>
      <c r="BL61" s="319">
        <f t="shared" si="77"/>
        <v>12796887.139435178</v>
      </c>
      <c r="BM61" s="319">
        <f t="shared" si="77"/>
        <v>12796887.139435178</v>
      </c>
      <c r="BN61" s="319">
        <f t="shared" si="77"/>
        <v>12796887.139435178</v>
      </c>
      <c r="BO61" s="319">
        <f t="shared" si="77"/>
        <v>12796887.139435178</v>
      </c>
      <c r="BP61" s="319">
        <f t="shared" si="77"/>
        <v>12796887.139435178</v>
      </c>
      <c r="BQ61" s="319">
        <f t="shared" si="77"/>
        <v>12796887.139435178</v>
      </c>
      <c r="BR61" s="319">
        <f t="shared" si="77"/>
        <v>12796887.139435178</v>
      </c>
      <c r="BS61" s="319">
        <f t="shared" si="78"/>
        <v>12796887.139435178</v>
      </c>
      <c r="BT61" s="319">
        <f t="shared" si="78"/>
        <v>12796887.139435178</v>
      </c>
      <c r="BU61" s="319">
        <f t="shared" si="78"/>
        <v>12796887.139435178</v>
      </c>
      <c r="BV61" s="319">
        <f t="shared" si="78"/>
        <v>12796887.139435178</v>
      </c>
      <c r="BW61" s="319">
        <f t="shared" si="78"/>
        <v>12796887.139435178</v>
      </c>
      <c r="BX61" s="319">
        <f t="shared" si="78"/>
        <v>12796887.139435178</v>
      </c>
      <c r="BY61" s="319">
        <f t="shared" si="78"/>
        <v>12796887.139435178</v>
      </c>
      <c r="BZ61" s="319">
        <f t="shared" si="78"/>
        <v>12796887.139435178</v>
      </c>
      <c r="CA61" s="319">
        <f t="shared" si="78"/>
        <v>12796887.139435178</v>
      </c>
      <c r="CB61" s="319">
        <f t="shared" si="78"/>
        <v>12796887.139435178</v>
      </c>
      <c r="CC61" s="319">
        <f t="shared" si="78"/>
        <v>12796887.139435178</v>
      </c>
      <c r="CD61" s="319">
        <f t="shared" si="78"/>
        <v>12796887.139435178</v>
      </c>
      <c r="CE61" s="319">
        <f t="shared" si="78"/>
        <v>12796887.139435178</v>
      </c>
      <c r="CF61" s="319">
        <f t="shared" si="78"/>
        <v>12796887.139435178</v>
      </c>
      <c r="CG61" s="319">
        <f t="shared" si="78"/>
        <v>12796887.139435178</v>
      </c>
      <c r="CH61" s="319">
        <f t="shared" si="78"/>
        <v>12796887.139435178</v>
      </c>
      <c r="CI61" s="319">
        <f t="shared" si="78"/>
        <v>12796887.139435178</v>
      </c>
      <c r="CJ61" s="319">
        <f t="shared" si="78"/>
        <v>12796887.139435178</v>
      </c>
      <c r="CK61" s="319">
        <f t="shared" si="78"/>
        <v>12796887.139435178</v>
      </c>
      <c r="CL61" s="319">
        <f t="shared" si="78"/>
        <v>12796887.139435178</v>
      </c>
      <c r="CM61" s="319">
        <f t="shared" si="79"/>
        <v>12796887.139435176</v>
      </c>
      <c r="CN61" s="58"/>
      <c r="CO61" s="58"/>
      <c r="CP61" s="58"/>
      <c r="CQ61" s="58"/>
      <c r="CR61" s="58"/>
      <c r="CS61" s="58"/>
      <c r="CT61" s="58"/>
      <c r="CU61" s="58"/>
      <c r="CV61" s="58"/>
      <c r="CW61" s="58"/>
      <c r="CX61" s="58"/>
      <c r="CY61" s="58"/>
      <c r="CZ61" s="58"/>
      <c r="DA61" s="58"/>
      <c r="DB61" s="58"/>
      <c r="DC61" s="58"/>
      <c r="DD61" s="58"/>
      <c r="DE61" s="58"/>
      <c r="DF61" s="58"/>
      <c r="DG61" s="58"/>
      <c r="DH61" s="58"/>
      <c r="DI61" s="58"/>
      <c r="DJ61" s="58"/>
      <c r="DK61" s="58"/>
      <c r="DL61" s="58"/>
      <c r="DM61" s="58"/>
      <c r="DN61" s="58"/>
      <c r="DO61" s="58"/>
      <c r="DP61" s="58"/>
      <c r="DQ61" s="58"/>
      <c r="DR61" s="58"/>
      <c r="DS61" s="58"/>
      <c r="DT61" s="58"/>
      <c r="DU61" s="58"/>
      <c r="DV61" s="58"/>
      <c r="DW61" s="58"/>
      <c r="DX61" s="58"/>
      <c r="DY61" s="58"/>
      <c r="DZ61" s="58"/>
      <c r="EA61" s="58"/>
      <c r="EB61" s="58"/>
      <c r="EC61" s="58"/>
      <c r="ED61" s="58"/>
      <c r="EE61" s="58"/>
      <c r="EF61" s="58"/>
      <c r="EG61" s="58"/>
      <c r="EH61" s="58"/>
      <c r="EI61" s="58"/>
      <c r="EJ61" s="58"/>
      <c r="EK61" s="58"/>
      <c r="EL61" s="58"/>
      <c r="EM61" s="58"/>
      <c r="EN61" s="58"/>
      <c r="EO61" s="58"/>
      <c r="EP61" s="58"/>
      <c r="EQ61" s="58"/>
      <c r="ER61" s="58"/>
      <c r="ES61" s="58"/>
      <c r="ET61" s="58"/>
      <c r="EU61" s="58"/>
      <c r="EV61" s="58"/>
      <c r="EW61" s="58"/>
      <c r="EX61" s="58"/>
      <c r="EY61" s="58"/>
      <c r="EZ61" s="58"/>
      <c r="FA61" s="58"/>
      <c r="FB61" s="58"/>
      <c r="FC61" s="58"/>
      <c r="FD61" s="58"/>
      <c r="FE61" s="58"/>
      <c r="FF61" s="58"/>
      <c r="FG61" s="58"/>
      <c r="FH61" s="58"/>
      <c r="FI61" s="58"/>
      <c r="FJ61" s="58"/>
      <c r="FK61" s="58"/>
      <c r="FL61" s="58"/>
      <c r="FM61" s="58"/>
      <c r="FN61" s="58"/>
      <c r="FO61" s="58"/>
      <c r="FP61" s="58"/>
      <c r="FQ61" s="58"/>
      <c r="FR61" s="58"/>
      <c r="FS61" s="58"/>
      <c r="FT61" s="58"/>
      <c r="FU61" s="58"/>
      <c r="FV61" s="58"/>
    </row>
    <row r="62" spans="1:178">
      <c r="A62" s="1055"/>
      <c r="B62" s="1055"/>
      <c r="C62" s="1055"/>
      <c r="D62" s="1055"/>
      <c r="E62" s="1056"/>
      <c r="F62" s="486" t="s">
        <v>187</v>
      </c>
      <c r="G62" s="482">
        <f t="shared" ref="G62:BR62" si="80">G41</f>
        <v>585611689.03351569</v>
      </c>
      <c r="H62" s="482">
        <f t="shared" si="80"/>
        <v>585611689.03351569</v>
      </c>
      <c r="I62" s="482">
        <f t="shared" si="80"/>
        <v>585611689.03351569</v>
      </c>
      <c r="J62" s="482">
        <f t="shared" si="80"/>
        <v>585613575.71806097</v>
      </c>
      <c r="K62" s="482">
        <f t="shared" si="80"/>
        <v>586050994.54568803</v>
      </c>
      <c r="L62" s="482">
        <f t="shared" si="80"/>
        <v>586051623.4405365</v>
      </c>
      <c r="M62" s="482">
        <f t="shared" si="80"/>
        <v>586051623.4405365</v>
      </c>
      <c r="N62" s="482">
        <f t="shared" si="80"/>
        <v>587280193.9073875</v>
      </c>
      <c r="O62" s="482">
        <f t="shared" si="80"/>
        <v>586052252.33538496</v>
      </c>
      <c r="P62" s="482">
        <f t="shared" si="80"/>
        <v>587282552.26306915</v>
      </c>
      <c r="Q62" s="482">
        <f t="shared" si="80"/>
        <v>588510493.83507359</v>
      </c>
      <c r="R62" s="482">
        <f t="shared" si="80"/>
        <v>589738435.40707803</v>
      </c>
      <c r="S62" s="482">
        <f t="shared" si="80"/>
        <v>590967005.87392902</v>
      </c>
      <c r="T62" s="482">
        <f t="shared" si="80"/>
        <v>592197065.64722669</v>
      </c>
      <c r="U62" s="482">
        <f t="shared" si="80"/>
        <v>593425235.4110558</v>
      </c>
      <c r="V62" s="482">
        <f t="shared" si="80"/>
        <v>594754007.01889038</v>
      </c>
      <c r="W62" s="482">
        <f t="shared" si="80"/>
        <v>595945496.41005588</v>
      </c>
      <c r="X62" s="482">
        <f t="shared" si="80"/>
        <v>597136985.80121982</v>
      </c>
      <c r="Y62" s="482">
        <f t="shared" si="80"/>
        <v>598328475.19238555</v>
      </c>
      <c r="Z62" s="482">
        <f t="shared" si="80"/>
        <v>599519964.58355129</v>
      </c>
      <c r="AA62" s="482">
        <f t="shared" si="80"/>
        <v>600711453.97471511</v>
      </c>
      <c r="AB62" s="482">
        <f t="shared" si="80"/>
        <v>601902943.36588085</v>
      </c>
      <c r="AC62" s="482">
        <f t="shared" si="80"/>
        <v>603094432.75704658</v>
      </c>
      <c r="AD62" s="482">
        <f t="shared" si="80"/>
        <v>604285922.14821041</v>
      </c>
      <c r="AE62" s="482">
        <f t="shared" si="80"/>
        <v>605479072.17649579</v>
      </c>
      <c r="AF62" s="482">
        <f t="shared" si="80"/>
        <v>606668900.93053997</v>
      </c>
      <c r="AG62" s="482">
        <f t="shared" si="80"/>
        <v>607860808.45661557</v>
      </c>
      <c r="AH62" s="482">
        <f t="shared" si="80"/>
        <v>609051879.71287131</v>
      </c>
      <c r="AI62" s="482">
        <f t="shared" si="80"/>
        <v>610243369.10403514</v>
      </c>
      <c r="AJ62" s="482">
        <f t="shared" si="80"/>
        <v>611434858.49520087</v>
      </c>
      <c r="AK62" s="482">
        <f t="shared" si="80"/>
        <v>612626347.88636661</v>
      </c>
      <c r="AL62" s="482">
        <f t="shared" si="80"/>
        <v>613817837.27753043</v>
      </c>
      <c r="AM62" s="482">
        <f t="shared" si="80"/>
        <v>615009326.66869617</v>
      </c>
      <c r="AN62" s="482">
        <f t="shared" si="80"/>
        <v>616200816.05985999</v>
      </c>
      <c r="AO62" s="482">
        <f t="shared" si="80"/>
        <v>617392305.45102572</v>
      </c>
      <c r="AP62" s="482">
        <f t="shared" si="80"/>
        <v>618583794.84219134</v>
      </c>
      <c r="AQ62" s="482">
        <f t="shared" si="80"/>
        <v>619775284.23335528</v>
      </c>
      <c r="AR62" s="482">
        <f t="shared" si="80"/>
        <v>620966773.62452102</v>
      </c>
      <c r="AS62" s="482">
        <f t="shared" si="80"/>
        <v>622158263.01568675</v>
      </c>
      <c r="AT62" s="482">
        <f t="shared" si="80"/>
        <v>487360378.26627934</v>
      </c>
      <c r="AU62" s="319">
        <f t="shared" si="80"/>
        <v>593685215.7866534</v>
      </c>
      <c r="AV62" s="319">
        <f t="shared" si="80"/>
        <v>596840820.69807696</v>
      </c>
      <c r="AW62" s="319">
        <f t="shared" si="80"/>
        <v>576610920.14729047</v>
      </c>
      <c r="AX62" s="319">
        <f t="shared" si="80"/>
        <v>626241831.53895569</v>
      </c>
      <c r="AY62" s="319">
        <f t="shared" si="80"/>
        <v>678632486.52945137</v>
      </c>
      <c r="AZ62" s="319">
        <f t="shared" si="80"/>
        <v>693680039.59946072</v>
      </c>
      <c r="BA62" s="319">
        <f t="shared" si="80"/>
        <v>703263646.33744085</v>
      </c>
      <c r="BB62" s="319">
        <f t="shared" si="80"/>
        <v>692570186.59853482</v>
      </c>
      <c r="BC62" s="319">
        <f t="shared" si="80"/>
        <v>741818216.76020801</v>
      </c>
      <c r="BD62" s="319">
        <f t="shared" si="80"/>
        <v>702259858.56839967</v>
      </c>
      <c r="BE62" s="319">
        <f t="shared" si="80"/>
        <v>661293444.65653121</v>
      </c>
      <c r="BF62" s="319">
        <f t="shared" si="80"/>
        <v>654362245.21137512</v>
      </c>
      <c r="BG62" s="319">
        <f t="shared" si="80"/>
        <v>705730728.97777033</v>
      </c>
      <c r="BH62" s="319">
        <f t="shared" si="80"/>
        <v>634887423.21680617</v>
      </c>
      <c r="BI62" s="319">
        <f t="shared" si="80"/>
        <v>566827051.11023867</v>
      </c>
      <c r="BJ62" s="319">
        <f t="shared" si="80"/>
        <v>554924595.74348211</v>
      </c>
      <c r="BK62" s="319">
        <f t="shared" si="80"/>
        <v>586546888.65799999</v>
      </c>
      <c r="BL62" s="319">
        <f t="shared" si="80"/>
        <v>633693619.36047447</v>
      </c>
      <c r="BM62" s="319">
        <f t="shared" si="80"/>
        <v>585294938.69897914</v>
      </c>
      <c r="BN62" s="319">
        <f t="shared" si="80"/>
        <v>568525524.94666028</v>
      </c>
      <c r="BO62" s="319">
        <f t="shared" si="80"/>
        <v>668982953.21524143</v>
      </c>
      <c r="BP62" s="319">
        <f t="shared" si="80"/>
        <v>657961784.37119925</v>
      </c>
      <c r="BQ62" s="319">
        <f t="shared" si="80"/>
        <v>718459110.43637335</v>
      </c>
      <c r="BR62" s="319">
        <f t="shared" si="80"/>
        <v>622547457.66530287</v>
      </c>
      <c r="BS62" s="319">
        <f t="shared" ref="BS62:CL62" si="81">BS41</f>
        <v>598832079.99610019</v>
      </c>
      <c r="BT62" s="319">
        <f t="shared" si="81"/>
        <v>444710144.65783358</v>
      </c>
      <c r="BU62" s="319">
        <f t="shared" si="81"/>
        <v>534369122.700845</v>
      </c>
      <c r="BV62" s="319">
        <f t="shared" si="81"/>
        <v>512434460.79502738</v>
      </c>
      <c r="BW62" s="319">
        <f t="shared" si="81"/>
        <v>387945444.28138983</v>
      </c>
      <c r="BX62" s="319">
        <f t="shared" si="81"/>
        <v>373138227.37729454</v>
      </c>
      <c r="BY62" s="319">
        <f t="shared" si="81"/>
        <v>425903785.41244686</v>
      </c>
      <c r="BZ62" s="319">
        <f t="shared" si="81"/>
        <v>489750863.73656225</v>
      </c>
      <c r="CA62" s="319">
        <f t="shared" si="81"/>
        <v>511381207.91732121</v>
      </c>
      <c r="CB62" s="319">
        <f t="shared" si="81"/>
        <v>557570187.91693258</v>
      </c>
      <c r="CC62" s="319">
        <f t="shared" si="81"/>
        <v>598003174.12531316</v>
      </c>
      <c r="CD62" s="319">
        <f t="shared" si="81"/>
        <v>678696627.20882642</v>
      </c>
      <c r="CE62" s="319">
        <f t="shared" si="81"/>
        <v>788122163.39789057</v>
      </c>
      <c r="CF62" s="319">
        <f t="shared" si="81"/>
        <v>705680977.83974016</v>
      </c>
      <c r="CG62" s="319">
        <f t="shared" si="81"/>
        <v>600546829.18198895</v>
      </c>
      <c r="CH62" s="319">
        <f t="shared" si="81"/>
        <v>595086123.9826355</v>
      </c>
      <c r="CI62" s="319">
        <f t="shared" si="81"/>
        <v>643695091.35908115</v>
      </c>
      <c r="CJ62" s="319">
        <f t="shared" si="81"/>
        <v>718157824.88290548</v>
      </c>
      <c r="CK62" s="319">
        <f t="shared" si="81"/>
        <v>819008076.59619951</v>
      </c>
      <c r="CL62" s="319">
        <f t="shared" si="81"/>
        <v>879469757.79978478</v>
      </c>
      <c r="CM62" s="319">
        <f t="shared" si="79"/>
        <v>609458440.19497406</v>
      </c>
      <c r="CN62" s="58"/>
      <c r="CO62" s="58"/>
      <c r="CP62" s="58"/>
      <c r="CQ62" s="58"/>
      <c r="CR62" s="58"/>
      <c r="CS62" s="58"/>
      <c r="CT62" s="58"/>
      <c r="CU62" s="58"/>
      <c r="CV62" s="58"/>
      <c r="CW62" s="58"/>
      <c r="CX62" s="58"/>
      <c r="CY62" s="58"/>
      <c r="CZ62" s="58"/>
      <c r="DA62" s="58"/>
      <c r="DB62" s="58"/>
      <c r="DC62" s="58"/>
      <c r="DD62" s="58"/>
      <c r="DE62" s="58"/>
      <c r="DF62" s="58"/>
      <c r="DG62" s="58"/>
      <c r="DH62" s="58"/>
      <c r="DI62" s="58"/>
      <c r="DJ62" s="58"/>
      <c r="DK62" s="58"/>
      <c r="DL62" s="58"/>
      <c r="DM62" s="58"/>
      <c r="DN62" s="58"/>
      <c r="DO62" s="58"/>
      <c r="DP62" s="58"/>
      <c r="DQ62" s="58"/>
      <c r="DR62" s="58"/>
      <c r="DS62" s="58"/>
      <c r="DT62" s="58"/>
      <c r="DU62" s="58"/>
      <c r="DV62" s="58"/>
      <c r="DW62" s="58"/>
      <c r="DX62" s="58"/>
      <c r="DY62" s="58"/>
      <c r="DZ62" s="58"/>
      <c r="EA62" s="58"/>
      <c r="EB62" s="58"/>
      <c r="EC62" s="58"/>
      <c r="ED62" s="58"/>
      <c r="EE62" s="58"/>
      <c r="EF62" s="58"/>
      <c r="EG62" s="58"/>
      <c r="EH62" s="58"/>
      <c r="EI62" s="58"/>
      <c r="EJ62" s="58"/>
      <c r="EK62" s="58"/>
      <c r="EL62" s="58"/>
      <c r="EM62" s="58"/>
      <c r="EN62" s="58"/>
      <c r="EO62" s="58"/>
      <c r="EP62" s="58"/>
      <c r="EQ62" s="58"/>
      <c r="ER62" s="58"/>
      <c r="ES62" s="58"/>
      <c r="ET62" s="58"/>
      <c r="EU62" s="58"/>
      <c r="EV62" s="58"/>
      <c r="EW62" s="58"/>
      <c r="EX62" s="58"/>
      <c r="EY62" s="58"/>
      <c r="EZ62" s="58"/>
      <c r="FA62" s="58"/>
      <c r="FB62" s="58"/>
      <c r="FC62" s="58"/>
      <c r="FD62" s="58"/>
      <c r="FE62" s="58"/>
      <c r="FF62" s="58"/>
      <c r="FG62" s="58"/>
      <c r="FH62" s="58"/>
      <c r="FI62" s="58"/>
      <c r="FJ62" s="58"/>
      <c r="FK62" s="58"/>
      <c r="FL62" s="58"/>
      <c r="FM62" s="58"/>
      <c r="FN62" s="58"/>
      <c r="FO62" s="58"/>
      <c r="FP62" s="58"/>
      <c r="FQ62" s="58"/>
      <c r="FR62" s="58"/>
      <c r="FS62" s="58"/>
      <c r="FT62" s="58"/>
      <c r="FU62" s="58"/>
      <c r="FV62" s="58"/>
    </row>
    <row r="63" spans="1:178">
      <c r="A63" s="1055"/>
      <c r="B63" s="1055"/>
      <c r="C63" s="1055"/>
      <c r="D63" s="1055"/>
      <c r="E63" s="1056"/>
      <c r="F63" s="363" t="s">
        <v>188</v>
      </c>
      <c r="G63" s="482">
        <f t="shared" ref="G63:BR63" si="82">G45</f>
        <v>351619601.87425661</v>
      </c>
      <c r="H63" s="482">
        <f t="shared" si="82"/>
        <v>351619601.87425661</v>
      </c>
      <c r="I63" s="482">
        <f t="shared" si="82"/>
        <v>351619601.87425661</v>
      </c>
      <c r="J63" s="482">
        <f t="shared" si="82"/>
        <v>351619601.87425661</v>
      </c>
      <c r="K63" s="482">
        <f t="shared" si="82"/>
        <v>351619601.87425661</v>
      </c>
      <c r="L63" s="482">
        <f t="shared" si="82"/>
        <v>351619601.87425661</v>
      </c>
      <c r="M63" s="482">
        <f t="shared" si="82"/>
        <v>351619601.87425661</v>
      </c>
      <c r="N63" s="482">
        <f t="shared" si="82"/>
        <v>351619601.87425661</v>
      </c>
      <c r="O63" s="482">
        <f t="shared" si="82"/>
        <v>351619601.87425661</v>
      </c>
      <c r="P63" s="482">
        <f t="shared" si="82"/>
        <v>351619601.87425661</v>
      </c>
      <c r="Q63" s="482">
        <f t="shared" si="82"/>
        <v>351619601.87425661</v>
      </c>
      <c r="R63" s="482">
        <f t="shared" si="82"/>
        <v>351619601.87425661</v>
      </c>
      <c r="S63" s="482">
        <f t="shared" si="82"/>
        <v>351619601.87425661</v>
      </c>
      <c r="T63" s="482">
        <f t="shared" si="82"/>
        <v>351619601.87425661</v>
      </c>
      <c r="U63" s="482">
        <f t="shared" si="82"/>
        <v>351619601.87425661</v>
      </c>
      <c r="V63" s="482">
        <f t="shared" si="82"/>
        <v>351619601.87425661</v>
      </c>
      <c r="W63" s="482">
        <f t="shared" si="82"/>
        <v>351619601.87425661</v>
      </c>
      <c r="X63" s="482">
        <f t="shared" si="82"/>
        <v>351619601.87425661</v>
      </c>
      <c r="Y63" s="482">
        <f t="shared" si="82"/>
        <v>351619601.87425661</v>
      </c>
      <c r="Z63" s="482">
        <f t="shared" si="82"/>
        <v>351619601.87425661</v>
      </c>
      <c r="AA63" s="482">
        <f t="shared" si="82"/>
        <v>351619601.87425661</v>
      </c>
      <c r="AB63" s="482">
        <f t="shared" si="82"/>
        <v>351619601.87425661</v>
      </c>
      <c r="AC63" s="482">
        <f t="shared" si="82"/>
        <v>351619601.87425661</v>
      </c>
      <c r="AD63" s="482">
        <f t="shared" si="82"/>
        <v>351619601.87425661</v>
      </c>
      <c r="AE63" s="482">
        <f t="shared" si="82"/>
        <v>351619601.87425661</v>
      </c>
      <c r="AF63" s="482">
        <f t="shared" si="82"/>
        <v>351619601.87425661</v>
      </c>
      <c r="AG63" s="482">
        <f t="shared" si="82"/>
        <v>351619601.87425661</v>
      </c>
      <c r="AH63" s="482">
        <f t="shared" si="82"/>
        <v>351619601.87425661</v>
      </c>
      <c r="AI63" s="482">
        <f t="shared" si="82"/>
        <v>351619601.87425661</v>
      </c>
      <c r="AJ63" s="482">
        <f t="shared" si="82"/>
        <v>351619601.87425661</v>
      </c>
      <c r="AK63" s="482">
        <f t="shared" si="82"/>
        <v>351619601.87425661</v>
      </c>
      <c r="AL63" s="482">
        <f t="shared" si="82"/>
        <v>351619601.87425661</v>
      </c>
      <c r="AM63" s="482">
        <f t="shared" si="82"/>
        <v>351619601.87425661</v>
      </c>
      <c r="AN63" s="482">
        <f t="shared" si="82"/>
        <v>351619601.87425661</v>
      </c>
      <c r="AO63" s="482">
        <f t="shared" si="82"/>
        <v>351619601.87425661</v>
      </c>
      <c r="AP63" s="482">
        <f t="shared" si="82"/>
        <v>351619601.87425661</v>
      </c>
      <c r="AQ63" s="482">
        <f t="shared" si="82"/>
        <v>351619601.87425661</v>
      </c>
      <c r="AR63" s="482">
        <f t="shared" si="82"/>
        <v>351619601.87425661</v>
      </c>
      <c r="AS63" s="482">
        <f t="shared" si="82"/>
        <v>351619601.87425661</v>
      </c>
      <c r="AT63" s="482">
        <f t="shared" si="82"/>
        <v>351619601.87425661</v>
      </c>
      <c r="AU63" s="319">
        <f t="shared" si="82"/>
        <v>351619601.87425661</v>
      </c>
      <c r="AV63" s="319">
        <f t="shared" si="82"/>
        <v>351619601.87425661</v>
      </c>
      <c r="AW63" s="319">
        <f t="shared" si="82"/>
        <v>351619601.87425661</v>
      </c>
      <c r="AX63" s="319">
        <f t="shared" si="82"/>
        <v>351619601.87425661</v>
      </c>
      <c r="AY63" s="319">
        <f t="shared" si="82"/>
        <v>351619601.87425661</v>
      </c>
      <c r="AZ63" s="319">
        <f t="shared" si="82"/>
        <v>351619601.87425661</v>
      </c>
      <c r="BA63" s="319">
        <f t="shared" si="82"/>
        <v>351619601.87425661</v>
      </c>
      <c r="BB63" s="319">
        <f t="shared" si="82"/>
        <v>351619601.87425661</v>
      </c>
      <c r="BC63" s="319">
        <f t="shared" si="82"/>
        <v>351619601.87425661</v>
      </c>
      <c r="BD63" s="319">
        <f t="shared" si="82"/>
        <v>351619601.87425661</v>
      </c>
      <c r="BE63" s="319">
        <f t="shared" si="82"/>
        <v>351619601.87425661</v>
      </c>
      <c r="BF63" s="319">
        <f t="shared" si="82"/>
        <v>351619601.87425661</v>
      </c>
      <c r="BG63" s="319">
        <f t="shared" si="82"/>
        <v>351619601.87425661</v>
      </c>
      <c r="BH63" s="319">
        <f t="shared" si="82"/>
        <v>351619601.87425661</v>
      </c>
      <c r="BI63" s="319">
        <f t="shared" si="82"/>
        <v>351619601.87425661</v>
      </c>
      <c r="BJ63" s="319">
        <f t="shared" si="82"/>
        <v>351619601.87425661</v>
      </c>
      <c r="BK63" s="319">
        <f t="shared" si="82"/>
        <v>351619601.87425661</v>
      </c>
      <c r="BL63" s="319">
        <f t="shared" si="82"/>
        <v>351619601.87425661</v>
      </c>
      <c r="BM63" s="319">
        <f t="shared" si="82"/>
        <v>351619601.87425661</v>
      </c>
      <c r="BN63" s="319">
        <f t="shared" si="82"/>
        <v>351619601.87425661</v>
      </c>
      <c r="BO63" s="319">
        <f t="shared" si="82"/>
        <v>351619601.87425661</v>
      </c>
      <c r="BP63" s="319">
        <f t="shared" si="82"/>
        <v>351619601.87425661</v>
      </c>
      <c r="BQ63" s="319">
        <f t="shared" si="82"/>
        <v>351619601.87425661</v>
      </c>
      <c r="BR63" s="319">
        <f t="shared" si="82"/>
        <v>351619601.87425661</v>
      </c>
      <c r="BS63" s="319">
        <f t="shared" ref="BS63:CL63" si="83">BS45</f>
        <v>351619601.87425661</v>
      </c>
      <c r="BT63" s="319">
        <f t="shared" si="83"/>
        <v>351619601.87425661</v>
      </c>
      <c r="BU63" s="319">
        <f t="shared" si="83"/>
        <v>351619601.87425661</v>
      </c>
      <c r="BV63" s="319">
        <f t="shared" si="83"/>
        <v>351619601.87425661</v>
      </c>
      <c r="BW63" s="319">
        <f t="shared" si="83"/>
        <v>351619601.87425661</v>
      </c>
      <c r="BX63" s="319">
        <f t="shared" si="83"/>
        <v>351619601.87425661</v>
      </c>
      <c r="BY63" s="319">
        <f t="shared" si="83"/>
        <v>351619601.87425661</v>
      </c>
      <c r="BZ63" s="319">
        <f t="shared" si="83"/>
        <v>351619601.87425661</v>
      </c>
      <c r="CA63" s="319">
        <f t="shared" si="83"/>
        <v>351619601.87425661</v>
      </c>
      <c r="CB63" s="319">
        <f t="shared" si="83"/>
        <v>351619601.87425661</v>
      </c>
      <c r="CC63" s="319">
        <f t="shared" si="83"/>
        <v>351619601.87425661</v>
      </c>
      <c r="CD63" s="319">
        <f t="shared" si="83"/>
        <v>351619601.87425661</v>
      </c>
      <c r="CE63" s="319">
        <f t="shared" si="83"/>
        <v>351619601.87425661</v>
      </c>
      <c r="CF63" s="319">
        <f t="shared" si="83"/>
        <v>351619601.87425661</v>
      </c>
      <c r="CG63" s="319">
        <f t="shared" si="83"/>
        <v>351619601.87425661</v>
      </c>
      <c r="CH63" s="319">
        <f t="shared" si="83"/>
        <v>351619601.87425661</v>
      </c>
      <c r="CI63" s="319">
        <f t="shared" si="83"/>
        <v>351619601.87425661</v>
      </c>
      <c r="CJ63" s="319">
        <f t="shared" si="83"/>
        <v>351619601.87425661</v>
      </c>
      <c r="CK63" s="319">
        <f t="shared" si="83"/>
        <v>351619601.87425661</v>
      </c>
      <c r="CL63" s="319">
        <f t="shared" si="83"/>
        <v>351619601.87425661</v>
      </c>
      <c r="CM63" s="319">
        <f t="shared" si="79"/>
        <v>351619601.87425625</v>
      </c>
      <c r="CN63" s="58"/>
      <c r="CO63" s="58"/>
      <c r="CP63" s="58"/>
      <c r="CQ63" s="58"/>
      <c r="CR63" s="58"/>
      <c r="CS63" s="58"/>
      <c r="CT63" s="58"/>
      <c r="CU63" s="58"/>
      <c r="CV63" s="58"/>
      <c r="CW63" s="58"/>
      <c r="CX63" s="58"/>
      <c r="CY63" s="58"/>
      <c r="CZ63" s="58"/>
      <c r="DA63" s="58"/>
      <c r="DB63" s="58"/>
      <c r="DC63" s="58"/>
      <c r="DD63" s="58"/>
      <c r="DE63" s="58"/>
      <c r="DF63" s="58"/>
      <c r="DG63" s="58"/>
      <c r="DH63" s="58"/>
      <c r="DI63" s="58"/>
      <c r="DJ63" s="58"/>
      <c r="DK63" s="58"/>
      <c r="DL63" s="58"/>
      <c r="DM63" s="58"/>
      <c r="DN63" s="58"/>
      <c r="DO63" s="58"/>
      <c r="DP63" s="58"/>
      <c r="DQ63" s="58"/>
      <c r="DR63" s="58"/>
      <c r="DS63" s="58"/>
      <c r="DT63" s="58"/>
      <c r="DU63" s="58"/>
      <c r="DV63" s="58"/>
      <c r="DW63" s="58"/>
      <c r="DX63" s="58"/>
      <c r="DY63" s="58"/>
      <c r="DZ63" s="58"/>
      <c r="EA63" s="58"/>
      <c r="EB63" s="58"/>
      <c r="EC63" s="58"/>
      <c r="ED63" s="58"/>
      <c r="EE63" s="58"/>
      <c r="EF63" s="58"/>
      <c r="EG63" s="58"/>
      <c r="EH63" s="58"/>
      <c r="EI63" s="58"/>
      <c r="EJ63" s="58"/>
      <c r="EK63" s="58"/>
      <c r="EL63" s="58"/>
      <c r="EM63" s="58"/>
      <c r="EN63" s="58"/>
      <c r="EO63" s="58"/>
      <c r="EP63" s="58"/>
      <c r="EQ63" s="58"/>
      <c r="ER63" s="58"/>
      <c r="ES63" s="58"/>
      <c r="ET63" s="58"/>
      <c r="EU63" s="58"/>
      <c r="EV63" s="58"/>
      <c r="EW63" s="58"/>
      <c r="EX63" s="58"/>
      <c r="EY63" s="58"/>
      <c r="EZ63" s="58"/>
      <c r="FA63" s="58"/>
      <c r="FB63" s="58"/>
      <c r="FC63" s="58"/>
      <c r="FD63" s="58"/>
      <c r="FE63" s="58"/>
      <c r="FF63" s="58"/>
      <c r="FG63" s="58"/>
      <c r="FH63" s="58"/>
      <c r="FI63" s="58"/>
      <c r="FJ63" s="58"/>
      <c r="FK63" s="58"/>
      <c r="FL63" s="58"/>
      <c r="FM63" s="58"/>
      <c r="FN63" s="58"/>
      <c r="FO63" s="58"/>
      <c r="FP63" s="58"/>
      <c r="FQ63" s="58"/>
      <c r="FR63" s="58"/>
      <c r="FS63" s="58"/>
      <c r="FT63" s="58"/>
      <c r="FU63" s="58"/>
      <c r="FV63" s="58"/>
    </row>
    <row r="64" spans="1:178">
      <c r="A64" s="1055"/>
      <c r="B64" s="1055"/>
      <c r="C64" s="1055"/>
      <c r="D64" s="1055"/>
      <c r="E64" s="1056"/>
      <c r="F64" s="363" t="s">
        <v>189</v>
      </c>
      <c r="G64" s="482">
        <f t="shared" ref="G64:BR64" si="84">G44</f>
        <v>889886210.556247</v>
      </c>
      <c r="H64" s="482">
        <f t="shared" si="84"/>
        <v>889886210.556247</v>
      </c>
      <c r="I64" s="482">
        <f t="shared" si="84"/>
        <v>889886210.556247</v>
      </c>
      <c r="J64" s="482">
        <f t="shared" si="84"/>
        <v>889886210.556247</v>
      </c>
      <c r="K64" s="482">
        <f t="shared" si="84"/>
        <v>889886210.556247</v>
      </c>
      <c r="L64" s="482">
        <f t="shared" si="84"/>
        <v>889886210.556247</v>
      </c>
      <c r="M64" s="482">
        <f t="shared" si="84"/>
        <v>889886210.556247</v>
      </c>
      <c r="N64" s="482">
        <f t="shared" si="84"/>
        <v>889886210.556247</v>
      </c>
      <c r="O64" s="482">
        <f t="shared" si="84"/>
        <v>889886210.556247</v>
      </c>
      <c r="P64" s="482">
        <f t="shared" si="84"/>
        <v>889886210.556247</v>
      </c>
      <c r="Q64" s="482">
        <f t="shared" si="84"/>
        <v>889886210.556247</v>
      </c>
      <c r="R64" s="482">
        <f t="shared" si="84"/>
        <v>889886210.556247</v>
      </c>
      <c r="S64" s="482">
        <f t="shared" si="84"/>
        <v>889886210.556247</v>
      </c>
      <c r="T64" s="482">
        <f t="shared" si="84"/>
        <v>889886210.556247</v>
      </c>
      <c r="U64" s="482">
        <f t="shared" si="84"/>
        <v>889886210.556247</v>
      </c>
      <c r="V64" s="482">
        <f t="shared" si="84"/>
        <v>889886210.556247</v>
      </c>
      <c r="W64" s="482">
        <f t="shared" si="84"/>
        <v>889886210.556247</v>
      </c>
      <c r="X64" s="482">
        <f t="shared" si="84"/>
        <v>889886210.556247</v>
      </c>
      <c r="Y64" s="482">
        <f t="shared" si="84"/>
        <v>889886210.556247</v>
      </c>
      <c r="Z64" s="482">
        <f t="shared" si="84"/>
        <v>889886210.556247</v>
      </c>
      <c r="AA64" s="482">
        <f t="shared" si="84"/>
        <v>889886210.556247</v>
      </c>
      <c r="AB64" s="482">
        <f t="shared" si="84"/>
        <v>889886210.556247</v>
      </c>
      <c r="AC64" s="482">
        <f t="shared" si="84"/>
        <v>889886210.556247</v>
      </c>
      <c r="AD64" s="482">
        <f t="shared" si="84"/>
        <v>889886210.556247</v>
      </c>
      <c r="AE64" s="482">
        <f t="shared" si="84"/>
        <v>889886210.556247</v>
      </c>
      <c r="AF64" s="482">
        <f t="shared" si="84"/>
        <v>889886210.556247</v>
      </c>
      <c r="AG64" s="482">
        <f t="shared" si="84"/>
        <v>889886210.556247</v>
      </c>
      <c r="AH64" s="482">
        <f t="shared" si="84"/>
        <v>889886210.556247</v>
      </c>
      <c r="AI64" s="482">
        <f t="shared" si="84"/>
        <v>889886210.556247</v>
      </c>
      <c r="AJ64" s="482">
        <f t="shared" si="84"/>
        <v>889886210.556247</v>
      </c>
      <c r="AK64" s="482">
        <f t="shared" si="84"/>
        <v>889886210.556247</v>
      </c>
      <c r="AL64" s="482">
        <f t="shared" si="84"/>
        <v>889886210.556247</v>
      </c>
      <c r="AM64" s="482">
        <f t="shared" si="84"/>
        <v>889886210.556247</v>
      </c>
      <c r="AN64" s="482">
        <f t="shared" si="84"/>
        <v>889886210.556247</v>
      </c>
      <c r="AO64" s="482">
        <f t="shared" si="84"/>
        <v>889886210.556247</v>
      </c>
      <c r="AP64" s="482">
        <f t="shared" si="84"/>
        <v>889886210.556247</v>
      </c>
      <c r="AQ64" s="482">
        <f t="shared" si="84"/>
        <v>889886210.556247</v>
      </c>
      <c r="AR64" s="482">
        <f t="shared" si="84"/>
        <v>889886210.556247</v>
      </c>
      <c r="AS64" s="482">
        <f t="shared" si="84"/>
        <v>889886210.556247</v>
      </c>
      <c r="AT64" s="482">
        <f t="shared" si="84"/>
        <v>889886210.556247</v>
      </c>
      <c r="AU64" s="319">
        <f t="shared" si="84"/>
        <v>889886210.556247</v>
      </c>
      <c r="AV64" s="319">
        <f t="shared" si="84"/>
        <v>889886210.556247</v>
      </c>
      <c r="AW64" s="319">
        <f t="shared" si="84"/>
        <v>889886210.556247</v>
      </c>
      <c r="AX64" s="319">
        <f t="shared" si="84"/>
        <v>889886210.556247</v>
      </c>
      <c r="AY64" s="319">
        <f t="shared" si="84"/>
        <v>889886210.556247</v>
      </c>
      <c r="AZ64" s="319">
        <f t="shared" si="84"/>
        <v>889886210.556247</v>
      </c>
      <c r="BA64" s="319">
        <f t="shared" si="84"/>
        <v>889886210.556247</v>
      </c>
      <c r="BB64" s="319">
        <f t="shared" si="84"/>
        <v>889886210.556247</v>
      </c>
      <c r="BC64" s="319">
        <f t="shared" si="84"/>
        <v>889886210.556247</v>
      </c>
      <c r="BD64" s="319">
        <f t="shared" si="84"/>
        <v>889886210.556247</v>
      </c>
      <c r="BE64" s="319">
        <f t="shared" si="84"/>
        <v>889886210.556247</v>
      </c>
      <c r="BF64" s="319">
        <f t="shared" si="84"/>
        <v>889886210.556247</v>
      </c>
      <c r="BG64" s="319">
        <f t="shared" si="84"/>
        <v>889886210.556247</v>
      </c>
      <c r="BH64" s="319">
        <f t="shared" si="84"/>
        <v>889886210.556247</v>
      </c>
      <c r="BI64" s="319">
        <f t="shared" si="84"/>
        <v>889886210.556247</v>
      </c>
      <c r="BJ64" s="319">
        <f t="shared" si="84"/>
        <v>889886210.556247</v>
      </c>
      <c r="BK64" s="319">
        <f t="shared" si="84"/>
        <v>889886210.556247</v>
      </c>
      <c r="BL64" s="319">
        <f t="shared" si="84"/>
        <v>889886210.556247</v>
      </c>
      <c r="BM64" s="319">
        <f t="shared" si="84"/>
        <v>889886210.556247</v>
      </c>
      <c r="BN64" s="319">
        <f t="shared" si="84"/>
        <v>889886210.556247</v>
      </c>
      <c r="BO64" s="319">
        <f t="shared" si="84"/>
        <v>889886210.556247</v>
      </c>
      <c r="BP64" s="319">
        <f t="shared" si="84"/>
        <v>889886210.556247</v>
      </c>
      <c r="BQ64" s="319">
        <f t="shared" si="84"/>
        <v>889886210.556247</v>
      </c>
      <c r="BR64" s="319">
        <f t="shared" si="84"/>
        <v>889886210.556247</v>
      </c>
      <c r="BS64" s="319">
        <f t="shared" ref="BS64:CL64" si="85">BS44</f>
        <v>889886210.556247</v>
      </c>
      <c r="BT64" s="319">
        <f t="shared" si="85"/>
        <v>889886210.556247</v>
      </c>
      <c r="BU64" s="319">
        <f t="shared" si="85"/>
        <v>889886210.556247</v>
      </c>
      <c r="BV64" s="319">
        <f t="shared" si="85"/>
        <v>889886210.556247</v>
      </c>
      <c r="BW64" s="319">
        <f t="shared" si="85"/>
        <v>889886210.556247</v>
      </c>
      <c r="BX64" s="319">
        <f t="shared" si="85"/>
        <v>889886210.556247</v>
      </c>
      <c r="BY64" s="319">
        <f t="shared" si="85"/>
        <v>889886210.556247</v>
      </c>
      <c r="BZ64" s="319">
        <f t="shared" si="85"/>
        <v>889886210.556247</v>
      </c>
      <c r="CA64" s="319">
        <f t="shared" si="85"/>
        <v>889886210.556247</v>
      </c>
      <c r="CB64" s="319">
        <f t="shared" si="85"/>
        <v>889886210.556247</v>
      </c>
      <c r="CC64" s="319">
        <f t="shared" si="85"/>
        <v>889886210.556247</v>
      </c>
      <c r="CD64" s="319">
        <f t="shared" si="85"/>
        <v>889886210.556247</v>
      </c>
      <c r="CE64" s="319">
        <f t="shared" si="85"/>
        <v>889886210.556247</v>
      </c>
      <c r="CF64" s="319">
        <f t="shared" si="85"/>
        <v>889886210.556247</v>
      </c>
      <c r="CG64" s="319">
        <f t="shared" si="85"/>
        <v>889886210.556247</v>
      </c>
      <c r="CH64" s="319">
        <f t="shared" si="85"/>
        <v>889886210.556247</v>
      </c>
      <c r="CI64" s="319">
        <f t="shared" si="85"/>
        <v>889886210.556247</v>
      </c>
      <c r="CJ64" s="319">
        <f t="shared" si="85"/>
        <v>889886210.556247</v>
      </c>
      <c r="CK64" s="319">
        <f t="shared" si="85"/>
        <v>889886210.556247</v>
      </c>
      <c r="CL64" s="319">
        <f t="shared" si="85"/>
        <v>889886210.556247</v>
      </c>
      <c r="CM64" s="319">
        <f t="shared" si="79"/>
        <v>889886210.55624557</v>
      </c>
      <c r="CN64" s="58"/>
      <c r="CO64" s="58"/>
      <c r="CP64" s="58"/>
      <c r="CQ64" s="58"/>
      <c r="CR64" s="58"/>
      <c r="CS64" s="58"/>
      <c r="CT64" s="58"/>
      <c r="CU64" s="58"/>
      <c r="CV64" s="58"/>
      <c r="CW64" s="58"/>
      <c r="CX64" s="58"/>
      <c r="CY64" s="58"/>
      <c r="CZ64" s="58"/>
      <c r="DA64" s="58"/>
      <c r="DB64" s="58"/>
      <c r="DC64" s="58"/>
      <c r="DD64" s="58"/>
      <c r="DE64" s="58"/>
      <c r="DF64" s="58"/>
      <c r="DG64" s="58"/>
      <c r="DH64" s="58"/>
      <c r="DI64" s="58"/>
      <c r="DJ64" s="58"/>
      <c r="DK64" s="58"/>
      <c r="DL64" s="58"/>
      <c r="DM64" s="58"/>
      <c r="DN64" s="58"/>
      <c r="DO64" s="58"/>
      <c r="DP64" s="58"/>
      <c r="DQ64" s="58"/>
      <c r="DR64" s="58"/>
      <c r="DS64" s="58"/>
      <c r="DT64" s="58"/>
      <c r="DU64" s="58"/>
      <c r="DV64" s="58"/>
      <c r="DW64" s="58"/>
      <c r="DX64" s="58"/>
      <c r="DY64" s="58"/>
      <c r="DZ64" s="58"/>
      <c r="EA64" s="58"/>
      <c r="EB64" s="58"/>
      <c r="EC64" s="58"/>
      <c r="ED64" s="58"/>
      <c r="EE64" s="58"/>
      <c r="EF64" s="58"/>
      <c r="EG64" s="58"/>
      <c r="EH64" s="58"/>
      <c r="EI64" s="58"/>
      <c r="EJ64" s="58"/>
      <c r="EK64" s="58"/>
      <c r="EL64" s="58"/>
      <c r="EM64" s="58"/>
      <c r="EN64" s="58"/>
      <c r="EO64" s="58"/>
      <c r="EP64" s="58"/>
      <c r="EQ64" s="58"/>
      <c r="ER64" s="58"/>
      <c r="ES64" s="58"/>
      <c r="ET64" s="58"/>
      <c r="EU64" s="58"/>
      <c r="EV64" s="58"/>
      <c r="EW64" s="58"/>
      <c r="EX64" s="58"/>
      <c r="EY64" s="58"/>
      <c r="EZ64" s="58"/>
      <c r="FA64" s="58"/>
      <c r="FB64" s="58"/>
      <c r="FC64" s="58"/>
      <c r="FD64" s="58"/>
      <c r="FE64" s="58"/>
      <c r="FF64" s="58"/>
      <c r="FG64" s="58"/>
      <c r="FH64" s="58"/>
      <c r="FI64" s="58"/>
      <c r="FJ64" s="58"/>
      <c r="FK64" s="58"/>
      <c r="FL64" s="58"/>
      <c r="FM64" s="58"/>
      <c r="FN64" s="58"/>
      <c r="FO64" s="58"/>
      <c r="FP64" s="58"/>
      <c r="FQ64" s="58"/>
      <c r="FR64" s="58"/>
      <c r="FS64" s="58"/>
      <c r="FT64" s="58"/>
      <c r="FU64" s="58"/>
      <c r="FV64" s="58"/>
    </row>
    <row r="65" spans="1:178">
      <c r="A65" s="1055"/>
      <c r="B65" s="1055"/>
      <c r="C65" s="1055"/>
      <c r="D65" s="1055"/>
      <c r="E65" s="1056"/>
      <c r="F65" s="363" t="s">
        <v>190</v>
      </c>
      <c r="G65" s="482">
        <f t="shared" ref="G65:AS65" si="86">SUM(G60:G64)</f>
        <v>1846429798.6675496</v>
      </c>
      <c r="H65" s="482">
        <f t="shared" si="86"/>
        <v>1846429798.6675496</v>
      </c>
      <c r="I65" s="482">
        <f t="shared" si="86"/>
        <v>1846429798.6675496</v>
      </c>
      <c r="J65" s="482">
        <f t="shared" si="86"/>
        <v>1846431685.3520949</v>
      </c>
      <c r="K65" s="482">
        <f t="shared" si="86"/>
        <v>1846869104.1797218</v>
      </c>
      <c r="L65" s="482">
        <f t="shared" si="86"/>
        <v>1846869733.0745704</v>
      </c>
      <c r="M65" s="482">
        <f t="shared" si="86"/>
        <v>1846869733.0745704</v>
      </c>
      <c r="N65" s="482">
        <f t="shared" si="86"/>
        <v>1848098303.5414214</v>
      </c>
      <c r="O65" s="482">
        <f t="shared" si="86"/>
        <v>1846870361.969419</v>
      </c>
      <c r="P65" s="482">
        <f t="shared" si="86"/>
        <v>1848100661.8971031</v>
      </c>
      <c r="Q65" s="482">
        <f t="shared" si="86"/>
        <v>1849328603.4691076</v>
      </c>
      <c r="R65" s="482">
        <f t="shared" si="86"/>
        <v>1850556545.0411119</v>
      </c>
      <c r="S65" s="482">
        <f t="shared" si="86"/>
        <v>1851785115.5079629</v>
      </c>
      <c r="T65" s="482">
        <f t="shared" si="86"/>
        <v>1853015175.2812605</v>
      </c>
      <c r="U65" s="482">
        <f t="shared" si="86"/>
        <v>1854243345.0450897</v>
      </c>
      <c r="V65" s="482">
        <f t="shared" si="86"/>
        <v>1855572116.6529243</v>
      </c>
      <c r="W65" s="482">
        <f t="shared" si="86"/>
        <v>1856763606.0440898</v>
      </c>
      <c r="X65" s="482">
        <f t="shared" si="86"/>
        <v>1857955095.4352536</v>
      </c>
      <c r="Y65" s="482">
        <f t="shared" si="86"/>
        <v>1859146584.8264194</v>
      </c>
      <c r="Z65" s="482">
        <f t="shared" si="86"/>
        <v>1860338074.2175851</v>
      </c>
      <c r="AA65" s="482">
        <f t="shared" si="86"/>
        <v>1861529563.6087489</v>
      </c>
      <c r="AB65" s="482">
        <f t="shared" si="86"/>
        <v>1862721052.9999146</v>
      </c>
      <c r="AC65" s="482">
        <f t="shared" si="86"/>
        <v>1863912542.3910804</v>
      </c>
      <c r="AD65" s="482">
        <f t="shared" si="86"/>
        <v>1865104031.7822442</v>
      </c>
      <c r="AE65" s="482">
        <f t="shared" si="86"/>
        <v>1866297181.8105297</v>
      </c>
      <c r="AF65" s="482">
        <f t="shared" si="86"/>
        <v>1867487010.5645738</v>
      </c>
      <c r="AG65" s="482">
        <f t="shared" si="86"/>
        <v>1868678918.0906496</v>
      </c>
      <c r="AH65" s="482">
        <f t="shared" si="86"/>
        <v>1869869989.3469052</v>
      </c>
      <c r="AI65" s="482">
        <f t="shared" si="86"/>
        <v>1871061478.7380691</v>
      </c>
      <c r="AJ65" s="482">
        <f t="shared" si="86"/>
        <v>1872252968.1292348</v>
      </c>
      <c r="AK65" s="482">
        <f t="shared" si="86"/>
        <v>1873444457.5204005</v>
      </c>
      <c r="AL65" s="482">
        <f t="shared" si="86"/>
        <v>1874635946.9115644</v>
      </c>
      <c r="AM65" s="482">
        <f t="shared" si="86"/>
        <v>1875827436.3027301</v>
      </c>
      <c r="AN65" s="482">
        <f t="shared" si="86"/>
        <v>1877018925.6938939</v>
      </c>
      <c r="AO65" s="482">
        <f t="shared" si="86"/>
        <v>1878210415.0850596</v>
      </c>
      <c r="AP65" s="482">
        <f t="shared" si="86"/>
        <v>1879401904.4762254</v>
      </c>
      <c r="AQ65" s="482">
        <f t="shared" si="86"/>
        <v>1880593393.8673892</v>
      </c>
      <c r="AR65" s="482">
        <f t="shared" si="86"/>
        <v>1881784883.2585549</v>
      </c>
      <c r="AS65" s="482">
        <f t="shared" si="86"/>
        <v>1882976372.6497207</v>
      </c>
      <c r="AT65" s="482">
        <f>SUM(AT60:AT64)</f>
        <v>1748178487.9003134</v>
      </c>
      <c r="AU65" s="319">
        <f>SUM(AU60:AU64)</f>
        <v>1854503325.4206872</v>
      </c>
      <c r="AV65" s="319">
        <f t="shared" ref="AV65:CL65" si="87">SUM(AV60:AV64)</f>
        <v>1857658930.3321109</v>
      </c>
      <c r="AW65" s="319">
        <f t="shared" si="87"/>
        <v>1837429029.7813244</v>
      </c>
      <c r="AX65" s="319">
        <f t="shared" si="87"/>
        <v>1887059941.1729896</v>
      </c>
      <c r="AY65" s="319">
        <f t="shared" si="87"/>
        <v>1939450596.1634853</v>
      </c>
      <c r="AZ65" s="319">
        <f t="shared" si="87"/>
        <v>1954498149.2334948</v>
      </c>
      <c r="BA65" s="319">
        <f t="shared" si="87"/>
        <v>1964081755.9714749</v>
      </c>
      <c r="BB65" s="319">
        <f t="shared" si="87"/>
        <v>1953388296.2325687</v>
      </c>
      <c r="BC65" s="319">
        <f t="shared" si="87"/>
        <v>2002636326.394242</v>
      </c>
      <c r="BD65" s="319">
        <f t="shared" si="87"/>
        <v>1963077968.2024336</v>
      </c>
      <c r="BE65" s="319">
        <f t="shared" si="87"/>
        <v>1922111554.290565</v>
      </c>
      <c r="BF65" s="319">
        <f t="shared" si="87"/>
        <v>1915180354.8454089</v>
      </c>
      <c r="BG65" s="319">
        <f t="shared" si="87"/>
        <v>1966548838.6118042</v>
      </c>
      <c r="BH65" s="319">
        <f t="shared" si="87"/>
        <v>1895705532.8508401</v>
      </c>
      <c r="BI65" s="319">
        <f t="shared" si="87"/>
        <v>1827645160.7442727</v>
      </c>
      <c r="BJ65" s="319">
        <f t="shared" si="87"/>
        <v>1815742705.377516</v>
      </c>
      <c r="BK65" s="319">
        <f t="shared" si="87"/>
        <v>1847364998.2920339</v>
      </c>
      <c r="BL65" s="319">
        <f t="shared" si="87"/>
        <v>1894511728.9945083</v>
      </c>
      <c r="BM65" s="319">
        <f t="shared" si="87"/>
        <v>1846113048.3330131</v>
      </c>
      <c r="BN65" s="319">
        <f t="shared" si="87"/>
        <v>1829343634.5806942</v>
      </c>
      <c r="BO65" s="319">
        <f t="shared" si="87"/>
        <v>1929801062.8492754</v>
      </c>
      <c r="BP65" s="319">
        <f t="shared" si="87"/>
        <v>1918779894.0052333</v>
      </c>
      <c r="BQ65" s="319">
        <f t="shared" si="87"/>
        <v>1979277220.0704072</v>
      </c>
      <c r="BR65" s="319">
        <f t="shared" si="87"/>
        <v>1883365567.2993369</v>
      </c>
      <c r="BS65" s="319">
        <f t="shared" si="87"/>
        <v>1859650189.6301341</v>
      </c>
      <c r="BT65" s="319">
        <f t="shared" si="87"/>
        <v>1705528254.2918675</v>
      </c>
      <c r="BU65" s="319">
        <f t="shared" si="87"/>
        <v>1795187232.3348789</v>
      </c>
      <c r="BV65" s="319">
        <f t="shared" si="87"/>
        <v>1773252570.4290614</v>
      </c>
      <c r="BW65" s="319">
        <f t="shared" si="87"/>
        <v>1648763553.9154239</v>
      </c>
      <c r="BX65" s="319">
        <f t="shared" si="87"/>
        <v>1633956337.0113285</v>
      </c>
      <c r="BY65" s="319">
        <f t="shared" si="87"/>
        <v>1686721895.0464809</v>
      </c>
      <c r="BZ65" s="319">
        <f t="shared" si="87"/>
        <v>1750568973.3705962</v>
      </c>
      <c r="CA65" s="319">
        <f t="shared" si="87"/>
        <v>1772199317.5513551</v>
      </c>
      <c r="CB65" s="319">
        <f t="shared" si="87"/>
        <v>1818388297.5509665</v>
      </c>
      <c r="CC65" s="319">
        <f t="shared" si="87"/>
        <v>1858821283.759347</v>
      </c>
      <c r="CD65" s="319">
        <f t="shared" si="87"/>
        <v>1939514736.8428602</v>
      </c>
      <c r="CE65" s="319">
        <f t="shared" si="87"/>
        <v>2048940273.0319245</v>
      </c>
      <c r="CF65" s="319">
        <f t="shared" si="87"/>
        <v>1966499087.4737742</v>
      </c>
      <c r="CG65" s="319">
        <f t="shared" si="87"/>
        <v>1861364938.8160229</v>
      </c>
      <c r="CH65" s="319">
        <f t="shared" si="87"/>
        <v>1855904233.6166694</v>
      </c>
      <c r="CI65" s="319">
        <f t="shared" si="87"/>
        <v>1904513200.9931149</v>
      </c>
      <c r="CJ65" s="319">
        <f t="shared" si="87"/>
        <v>1978975934.5169394</v>
      </c>
      <c r="CK65" s="319">
        <f t="shared" si="87"/>
        <v>2079826186.2302334</v>
      </c>
      <c r="CL65" s="319">
        <f t="shared" si="87"/>
        <v>2140287867.4338186</v>
      </c>
      <c r="CM65" s="319">
        <f t="shared" si="79"/>
        <v>1870276549.8290074</v>
      </c>
      <c r="CN65" s="58"/>
      <c r="CO65" s="58"/>
      <c r="CP65" s="58"/>
      <c r="CQ65" s="58"/>
      <c r="CR65" s="58"/>
      <c r="CS65" s="58"/>
      <c r="CT65" s="58"/>
      <c r="CU65" s="58"/>
      <c r="CV65" s="58"/>
      <c r="CW65" s="58"/>
      <c r="CX65" s="58"/>
      <c r="CY65" s="58"/>
      <c r="CZ65" s="58"/>
      <c r="DA65" s="58"/>
      <c r="DB65" s="58"/>
      <c r="DC65" s="58"/>
      <c r="DD65" s="58"/>
      <c r="DE65" s="58"/>
      <c r="DF65" s="58"/>
      <c r="DG65" s="58"/>
      <c r="DH65" s="58"/>
      <c r="DI65" s="58"/>
      <c r="DJ65" s="58"/>
      <c r="DK65" s="58"/>
      <c r="DL65" s="58"/>
      <c r="DM65" s="58"/>
      <c r="DN65" s="58"/>
      <c r="DO65" s="58"/>
      <c r="DP65" s="58"/>
      <c r="DQ65" s="58"/>
      <c r="DR65" s="58"/>
      <c r="DS65" s="58"/>
      <c r="DT65" s="58"/>
      <c r="DU65" s="58"/>
      <c r="DV65" s="58"/>
      <c r="DW65" s="58"/>
      <c r="DX65" s="58"/>
      <c r="DY65" s="58"/>
      <c r="DZ65" s="58"/>
      <c r="EA65" s="58"/>
      <c r="EB65" s="58"/>
      <c r="EC65" s="58"/>
      <c r="ED65" s="58"/>
      <c r="EE65" s="58"/>
      <c r="EF65" s="58"/>
      <c r="EG65" s="58"/>
      <c r="EH65" s="58"/>
      <c r="EI65" s="58"/>
      <c r="EJ65" s="58"/>
      <c r="EK65" s="58"/>
      <c r="EL65" s="58"/>
      <c r="EM65" s="58"/>
      <c r="EN65" s="58"/>
      <c r="EO65" s="58"/>
      <c r="EP65" s="58"/>
      <c r="EQ65" s="58"/>
      <c r="ER65" s="58"/>
      <c r="ES65" s="58"/>
      <c r="ET65" s="58"/>
      <c r="EU65" s="58"/>
      <c r="EV65" s="58"/>
      <c r="EW65" s="58"/>
      <c r="EX65" s="58"/>
      <c r="EY65" s="58"/>
      <c r="EZ65" s="58"/>
      <c r="FA65" s="58"/>
      <c r="FB65" s="58"/>
      <c r="FC65" s="58"/>
      <c r="FD65" s="58"/>
      <c r="FE65" s="58"/>
      <c r="FF65" s="58"/>
      <c r="FG65" s="58"/>
      <c r="FH65" s="58"/>
      <c r="FI65" s="58"/>
      <c r="FJ65" s="58"/>
      <c r="FK65" s="58"/>
      <c r="FL65" s="58"/>
      <c r="FM65" s="58"/>
      <c r="FN65" s="58"/>
      <c r="FO65" s="58"/>
      <c r="FP65" s="58"/>
      <c r="FQ65" s="58"/>
      <c r="FR65" s="58"/>
      <c r="FS65" s="58"/>
      <c r="FT65" s="58"/>
      <c r="FU65" s="58"/>
      <c r="FV65" s="58"/>
    </row>
    <row r="66" spans="1:178">
      <c r="A66" s="1055"/>
      <c r="B66" s="1055"/>
      <c r="C66" s="1055"/>
      <c r="D66" s="1055"/>
      <c r="E66" s="1056"/>
      <c r="F66" s="363" t="s">
        <v>191</v>
      </c>
      <c r="G66" s="482">
        <f t="shared" ref="G66:BR66" si="88">(0.101511101973684*G17*0.85*G3/0.685)+(0.20964*G16*0.5/0.82)</f>
        <v>217704987.23265532</v>
      </c>
      <c r="H66" s="482">
        <f t="shared" si="88"/>
        <v>213096343.72289562</v>
      </c>
      <c r="I66" s="482">
        <f t="shared" si="88"/>
        <v>187071062.72660542</v>
      </c>
      <c r="J66" s="482">
        <f t="shared" si="88"/>
        <v>180239426.46507925</v>
      </c>
      <c r="K66" s="482">
        <f t="shared" si="88"/>
        <v>177582679.03004128</v>
      </c>
      <c r="L66" s="482">
        <f t="shared" si="88"/>
        <v>179480355.7693541</v>
      </c>
      <c r="M66" s="482">
        <f t="shared" si="88"/>
        <v>177040485.67595193</v>
      </c>
      <c r="N66" s="482">
        <f t="shared" si="88"/>
        <v>175142808.9366391</v>
      </c>
      <c r="O66" s="482">
        <f t="shared" si="88"/>
        <v>163214555.14667276</v>
      </c>
      <c r="P66" s="482">
        <f t="shared" si="88"/>
        <v>160503588.37622586</v>
      </c>
      <c r="Q66" s="482">
        <f t="shared" si="88"/>
        <v>158877008.31395772</v>
      </c>
      <c r="R66" s="482">
        <f t="shared" si="88"/>
        <v>152912881.41897455</v>
      </c>
      <c r="S66" s="482">
        <f t="shared" si="88"/>
        <v>157955279.61200577</v>
      </c>
      <c r="T66" s="482">
        <f t="shared" si="88"/>
        <v>151720056.03997791</v>
      </c>
      <c r="U66" s="482">
        <f t="shared" si="88"/>
        <v>154268364.804198</v>
      </c>
      <c r="V66" s="482">
        <f t="shared" si="88"/>
        <v>173190912.86191732</v>
      </c>
      <c r="W66" s="482">
        <f t="shared" si="88"/>
        <v>175468124.94909272</v>
      </c>
      <c r="X66" s="482">
        <f t="shared" si="88"/>
        <v>148033141.23217013</v>
      </c>
      <c r="Y66" s="482">
        <f t="shared" si="88"/>
        <v>127050258.42891118</v>
      </c>
      <c r="Z66" s="482">
        <f t="shared" si="88"/>
        <v>133393920.67175692</v>
      </c>
      <c r="AA66" s="482">
        <f t="shared" si="88"/>
        <v>130682953.90131001</v>
      </c>
      <c r="AB66" s="482">
        <f t="shared" si="88"/>
        <v>135020500.73402506</v>
      </c>
      <c r="AC66" s="482">
        <f t="shared" si="88"/>
        <v>125694775.04368775</v>
      </c>
      <c r="AD66" s="482">
        <f t="shared" si="88"/>
        <v>123363343.62110341</v>
      </c>
      <c r="AE66" s="482">
        <f t="shared" si="88"/>
        <v>115772636.6638521</v>
      </c>
      <c r="AF66" s="482">
        <f t="shared" si="88"/>
        <v>130249199.21803853</v>
      </c>
      <c r="AG66" s="482">
        <f t="shared" si="88"/>
        <v>146786096.51776457</v>
      </c>
      <c r="AH66" s="482">
        <f t="shared" si="88"/>
        <v>154539461.48124269</v>
      </c>
      <c r="AI66" s="482">
        <f t="shared" si="88"/>
        <v>166142399.25875539</v>
      </c>
      <c r="AJ66" s="482">
        <f t="shared" si="88"/>
        <v>181594909.8503027</v>
      </c>
      <c r="AK66" s="482">
        <f t="shared" si="88"/>
        <v>189185616.80755401</v>
      </c>
      <c r="AL66" s="482">
        <f t="shared" si="88"/>
        <v>174980150.93041226</v>
      </c>
      <c r="AM66" s="482">
        <f t="shared" si="88"/>
        <v>160774685.05327055</v>
      </c>
      <c r="AN66" s="482">
        <f t="shared" si="88"/>
        <v>153780390.78551757</v>
      </c>
      <c r="AO66" s="482">
        <f t="shared" si="88"/>
        <v>139791802.25001156</v>
      </c>
      <c r="AP66" s="482">
        <f t="shared" si="88"/>
        <v>156111822.2081019</v>
      </c>
      <c r="AQ66" s="482">
        <f t="shared" si="88"/>
        <v>204638127.39910129</v>
      </c>
      <c r="AR66" s="482">
        <f t="shared" si="88"/>
        <v>210981789.64194703</v>
      </c>
      <c r="AS66" s="482">
        <f t="shared" si="88"/>
        <v>212554150.36880624</v>
      </c>
      <c r="AT66" s="482">
        <f t="shared" si="88"/>
        <v>212921430.85386804</v>
      </c>
      <c r="AU66" s="319">
        <f t="shared" si="88"/>
        <v>191522431.37258643</v>
      </c>
      <c r="AV66" s="319">
        <f t="shared" si="88"/>
        <v>177000599.5572575</v>
      </c>
      <c r="AW66" s="319">
        <f t="shared" si="88"/>
        <v>176724462.08307219</v>
      </c>
      <c r="AX66" s="319">
        <f t="shared" si="88"/>
        <v>191529249.35753849</v>
      </c>
      <c r="AY66" s="319">
        <f t="shared" si="88"/>
        <v>215286637.18362603</v>
      </c>
      <c r="AZ66" s="319">
        <f t="shared" si="88"/>
        <v>216204626.46516213</v>
      </c>
      <c r="BA66" s="319">
        <f t="shared" si="88"/>
        <v>228748589.36674061</v>
      </c>
      <c r="BB66" s="319">
        <f t="shared" si="88"/>
        <v>245919062.3911826</v>
      </c>
      <c r="BC66" s="319">
        <f t="shared" si="88"/>
        <v>273396723.02606618</v>
      </c>
      <c r="BD66" s="319">
        <f t="shared" si="88"/>
        <v>220054737.48377723</v>
      </c>
      <c r="BE66" s="319">
        <f t="shared" si="88"/>
        <v>178657147.01802328</v>
      </c>
      <c r="BF66" s="319">
        <f t="shared" si="88"/>
        <v>172601243.96406215</v>
      </c>
      <c r="BG66" s="319">
        <f t="shared" si="88"/>
        <v>177721620.90325683</v>
      </c>
      <c r="BH66" s="319">
        <f t="shared" si="88"/>
        <v>193051598.59659585</v>
      </c>
      <c r="BI66" s="319">
        <f t="shared" si="88"/>
        <v>202867033.29577115</v>
      </c>
      <c r="BJ66" s="319">
        <f t="shared" si="88"/>
        <v>207747234.63400745</v>
      </c>
      <c r="BK66" s="319">
        <f t="shared" si="88"/>
        <v>169337301.81138825</v>
      </c>
      <c r="BL66" s="319">
        <f t="shared" si="88"/>
        <v>146340379.65326092</v>
      </c>
      <c r="BM66" s="319">
        <f t="shared" si="88"/>
        <v>149133520.40544829</v>
      </c>
      <c r="BN66" s="319">
        <f t="shared" si="88"/>
        <v>141687614.54402336</v>
      </c>
      <c r="BO66" s="319">
        <f t="shared" si="88"/>
        <v>169201150.92734188</v>
      </c>
      <c r="BP66" s="319">
        <f t="shared" si="88"/>
        <v>174225284.70768642</v>
      </c>
      <c r="BQ66" s="319">
        <f t="shared" si="88"/>
        <v>177658235.23079446</v>
      </c>
      <c r="BR66" s="319">
        <f t="shared" si="88"/>
        <v>228532138.99655733</v>
      </c>
      <c r="BS66" s="319">
        <f t="shared" ref="BS66:CL66" si="89">(0.101511101973684*BS17*0.85*BS3/0.685)+(0.20964*BS16*0.5/0.82)</f>
        <v>204837335.3004896</v>
      </c>
      <c r="BT66" s="319">
        <f t="shared" si="89"/>
        <v>181064413.84233516</v>
      </c>
      <c r="BU66" s="319">
        <f t="shared" si="89"/>
        <v>99416128.13287285</v>
      </c>
      <c r="BV66" s="319">
        <f t="shared" si="89"/>
        <v>145905032.30050564</v>
      </c>
      <c r="BW66" s="319">
        <f t="shared" si="89"/>
        <v>150383997.11731714</v>
      </c>
      <c r="BX66" s="319">
        <f t="shared" si="89"/>
        <v>153120805.54459685</v>
      </c>
      <c r="BY66" s="319">
        <f t="shared" si="89"/>
        <v>154595771.53215539</v>
      </c>
      <c r="BZ66" s="319">
        <f t="shared" si="89"/>
        <v>152155314.23873764</v>
      </c>
      <c r="CA66" s="319">
        <f t="shared" si="89"/>
        <v>156277391.22493747</v>
      </c>
      <c r="CB66" s="319">
        <f t="shared" si="89"/>
        <v>181130731.71699864</v>
      </c>
      <c r="CC66" s="319">
        <f t="shared" si="89"/>
        <v>187852735.77410337</v>
      </c>
      <c r="CD66" s="319">
        <f t="shared" si="89"/>
        <v>228163210.95573524</v>
      </c>
      <c r="CE66" s="319">
        <f t="shared" si="89"/>
        <v>249822042.74253953</v>
      </c>
      <c r="CF66" s="319">
        <f t="shared" si="89"/>
        <v>258215541.25065205</v>
      </c>
      <c r="CG66" s="319">
        <f t="shared" si="89"/>
        <v>236628144.51661453</v>
      </c>
      <c r="CH66" s="319">
        <f t="shared" si="89"/>
        <v>205968302.52292463</v>
      </c>
      <c r="CI66" s="319">
        <f t="shared" si="89"/>
        <v>221283800.11571658</v>
      </c>
      <c r="CJ66" s="319">
        <f t="shared" si="89"/>
        <v>261770892.37107375</v>
      </c>
      <c r="CK66" s="319">
        <f t="shared" si="89"/>
        <v>277385352.9580974</v>
      </c>
      <c r="CL66" s="319">
        <f t="shared" si="89"/>
        <v>277113794.95642114</v>
      </c>
      <c r="CM66" s="319">
        <f t="shared" si="79"/>
        <v>180925617.21540248</v>
      </c>
      <c r="CN66" s="58"/>
      <c r="CO66" s="58"/>
      <c r="CP66" s="58"/>
      <c r="CQ66" s="58"/>
      <c r="CR66" s="58"/>
      <c r="CS66" s="58"/>
      <c r="CT66" s="58"/>
      <c r="CU66" s="58"/>
      <c r="CV66" s="58"/>
      <c r="CW66" s="58"/>
      <c r="CX66" s="58"/>
      <c r="CY66" s="58"/>
      <c r="CZ66" s="58"/>
      <c r="DA66" s="58"/>
      <c r="DB66" s="58"/>
      <c r="DC66" s="58"/>
      <c r="DD66" s="58"/>
      <c r="DE66" s="58"/>
      <c r="DF66" s="58"/>
      <c r="DG66" s="58"/>
      <c r="DH66" s="58"/>
      <c r="DI66" s="58"/>
      <c r="DJ66" s="58"/>
      <c r="DK66" s="58"/>
      <c r="DL66" s="58"/>
      <c r="DM66" s="58"/>
      <c r="DN66" s="58"/>
      <c r="DO66" s="58"/>
      <c r="DP66" s="58"/>
      <c r="DQ66" s="58"/>
      <c r="DR66" s="58"/>
      <c r="DS66" s="58"/>
      <c r="DT66" s="58"/>
      <c r="DU66" s="58"/>
      <c r="DV66" s="58"/>
      <c r="DW66" s="58"/>
      <c r="DX66" s="58"/>
      <c r="DY66" s="58"/>
      <c r="DZ66" s="58"/>
      <c r="EA66" s="58"/>
      <c r="EB66" s="58"/>
      <c r="EC66" s="58"/>
      <c r="ED66" s="58"/>
      <c r="EE66" s="58"/>
      <c r="EF66" s="58"/>
      <c r="EG66" s="58"/>
      <c r="EH66" s="58"/>
      <c r="EI66" s="58"/>
      <c r="EJ66" s="58"/>
      <c r="EK66" s="58"/>
      <c r="EL66" s="58"/>
      <c r="EM66" s="58"/>
      <c r="EN66" s="58"/>
      <c r="EO66" s="58"/>
      <c r="EP66" s="58"/>
      <c r="EQ66" s="58"/>
      <c r="ER66" s="58"/>
      <c r="ES66" s="58"/>
      <c r="ET66" s="58"/>
      <c r="EU66" s="58"/>
      <c r="EV66" s="58"/>
      <c r="EW66" s="58"/>
      <c r="EX66" s="58"/>
      <c r="EY66" s="58"/>
      <c r="EZ66" s="58"/>
      <c r="FA66" s="58"/>
      <c r="FB66" s="58"/>
      <c r="FC66" s="58"/>
      <c r="FD66" s="58"/>
      <c r="FE66" s="58"/>
      <c r="FF66" s="58"/>
      <c r="FG66" s="58"/>
      <c r="FH66" s="58"/>
      <c r="FI66" s="58"/>
      <c r="FJ66" s="58"/>
      <c r="FK66" s="58"/>
      <c r="FL66" s="58"/>
      <c r="FM66" s="58"/>
      <c r="FN66" s="58"/>
      <c r="FO66" s="58"/>
      <c r="FP66" s="58"/>
      <c r="FQ66" s="58"/>
      <c r="FR66" s="58"/>
      <c r="FS66" s="58"/>
      <c r="FT66" s="58"/>
      <c r="FU66" s="58"/>
      <c r="FV66" s="58"/>
    </row>
    <row r="67" spans="1:178">
      <c r="A67" s="1055"/>
      <c r="B67" s="1055"/>
      <c r="C67" s="1055"/>
      <c r="D67" s="1055"/>
      <c r="E67" s="1056"/>
      <c r="F67" s="363" t="s">
        <v>192</v>
      </c>
      <c r="G67" s="482">
        <f t="shared" ref="G67:BR67" si="90">G46+G47+G48+G49+G65+G66</f>
        <v>10969455619.233538</v>
      </c>
      <c r="H67" s="482">
        <f t="shared" si="90"/>
        <v>10916717809.05711</v>
      </c>
      <c r="I67" s="482">
        <f t="shared" si="90"/>
        <v>10020209194.727489</v>
      </c>
      <c r="J67" s="482">
        <f t="shared" si="90"/>
        <v>9783269445.150507</v>
      </c>
      <c r="K67" s="482">
        <f t="shared" si="90"/>
        <v>9723139283.2097626</v>
      </c>
      <c r="L67" s="482">
        <f t="shared" si="90"/>
        <v>9925083422.1772575</v>
      </c>
      <c r="M67" s="482">
        <f t="shared" si="90"/>
        <v>9817056885.4171886</v>
      </c>
      <c r="N67" s="482">
        <f t="shared" si="90"/>
        <v>9729838612.4780617</v>
      </c>
      <c r="O67" s="482">
        <f t="shared" si="90"/>
        <v>9515468250.4494267</v>
      </c>
      <c r="P67" s="482">
        <f t="shared" si="90"/>
        <v>9407093416.9399948</v>
      </c>
      <c r="Q67" s="482">
        <f t="shared" si="90"/>
        <v>9349473945.1163979</v>
      </c>
      <c r="R67" s="482">
        <f t="shared" si="90"/>
        <v>9076798593.1267529</v>
      </c>
      <c r="S67" s="482">
        <f t="shared" si="90"/>
        <v>9241923061.7866344</v>
      </c>
      <c r="T67" s="482">
        <f t="shared" si="90"/>
        <v>9273166147.9879036</v>
      </c>
      <c r="U67" s="482">
        <f t="shared" si="90"/>
        <v>8421638959.849288</v>
      </c>
      <c r="V67" s="482">
        <f t="shared" si="90"/>
        <v>9103831362.848175</v>
      </c>
      <c r="W67" s="482">
        <f t="shared" si="90"/>
        <v>7967051230.9931831</v>
      </c>
      <c r="X67" s="482">
        <f t="shared" si="90"/>
        <v>8218288736.6674232</v>
      </c>
      <c r="Y67" s="482">
        <f t="shared" si="90"/>
        <v>7976065759.9219971</v>
      </c>
      <c r="Z67" s="482">
        <f t="shared" si="90"/>
        <v>8427053828.2226753</v>
      </c>
      <c r="AA67" s="482">
        <f t="shared" si="90"/>
        <v>8200114017.5100594</v>
      </c>
      <c r="AB67" s="482">
        <f t="shared" si="90"/>
        <v>8641836470.4006062</v>
      </c>
      <c r="AC67" s="482">
        <f t="shared" si="90"/>
        <v>7855212817.4347687</v>
      </c>
      <c r="AD67" s="482">
        <f t="shared" si="90"/>
        <v>7928303542.070015</v>
      </c>
      <c r="AE67" s="482">
        <f t="shared" si="90"/>
        <v>7151222318.4743814</v>
      </c>
      <c r="AF67" s="482">
        <f t="shared" si="90"/>
        <v>8258291126.4492798</v>
      </c>
      <c r="AG67" s="482">
        <f t="shared" si="90"/>
        <v>8538689431.2750797</v>
      </c>
      <c r="AH67" s="482">
        <f t="shared" si="90"/>
        <v>9963837450.8281479</v>
      </c>
      <c r="AI67" s="482">
        <f t="shared" si="90"/>
        <v>10128349044.66349</v>
      </c>
      <c r="AJ67" s="482">
        <f t="shared" si="90"/>
        <v>10219009211.31287</v>
      </c>
      <c r="AK67" s="482">
        <f t="shared" si="90"/>
        <v>10480166157.661289</v>
      </c>
      <c r="AL67" s="482">
        <f t="shared" si="90"/>
        <v>9514887097.8419762</v>
      </c>
      <c r="AM67" s="482">
        <f t="shared" si="90"/>
        <v>9054975204.6893349</v>
      </c>
      <c r="AN67" s="482">
        <f t="shared" si="90"/>
        <v>9074571399.8127441</v>
      </c>
      <c r="AO67" s="482">
        <f t="shared" si="90"/>
        <v>8828492217.3350716</v>
      </c>
      <c r="AP67" s="482">
        <f t="shared" si="90"/>
        <v>8376842810.0176611</v>
      </c>
      <c r="AQ67" s="482">
        <f t="shared" si="90"/>
        <v>11494672854.599823</v>
      </c>
      <c r="AR67" s="482">
        <f t="shared" si="90"/>
        <v>11139641506.233835</v>
      </c>
      <c r="AS67" s="482">
        <f t="shared" si="90"/>
        <v>10970612606.351862</v>
      </c>
      <c r="AT67" s="482">
        <f t="shared" si="90"/>
        <v>11076874518.466066</v>
      </c>
      <c r="AU67" s="319">
        <f t="shared" si="90"/>
        <v>10557748622.073048</v>
      </c>
      <c r="AV67" s="319">
        <f t="shared" si="90"/>
        <v>10885189280.933485</v>
      </c>
      <c r="AW67" s="319">
        <f t="shared" si="90"/>
        <v>11020717529.422232</v>
      </c>
      <c r="AX67" s="319">
        <f t="shared" si="90"/>
        <v>11561043507.650822</v>
      </c>
      <c r="AY67" s="319">
        <f t="shared" si="90"/>
        <v>12301954459.032421</v>
      </c>
      <c r="AZ67" s="319">
        <f t="shared" si="90"/>
        <v>12798457300.510096</v>
      </c>
      <c r="BA67" s="319">
        <f t="shared" si="90"/>
        <v>13217298588.048727</v>
      </c>
      <c r="BB67" s="319">
        <f t="shared" si="90"/>
        <v>13868675834.268854</v>
      </c>
      <c r="BC67" s="319">
        <f t="shared" si="90"/>
        <v>13686039844.293285</v>
      </c>
      <c r="BD67" s="319">
        <f t="shared" si="90"/>
        <v>10997968062.03697</v>
      </c>
      <c r="BE67" s="319">
        <f t="shared" si="90"/>
        <v>9679329456.4028969</v>
      </c>
      <c r="BF67" s="319">
        <f t="shared" si="90"/>
        <v>9712843305.8743057</v>
      </c>
      <c r="BG67" s="319">
        <f t="shared" si="90"/>
        <v>10314770993.486664</v>
      </c>
      <c r="BH67" s="319">
        <f t="shared" si="90"/>
        <v>10681331991.720106</v>
      </c>
      <c r="BI67" s="319">
        <f t="shared" si="90"/>
        <v>11213114803.836414</v>
      </c>
      <c r="BJ67" s="319">
        <f t="shared" si="90"/>
        <v>11191706887.829227</v>
      </c>
      <c r="BK67" s="319">
        <f t="shared" si="90"/>
        <v>9753724995.2138405</v>
      </c>
      <c r="BL67" s="319">
        <f t="shared" si="90"/>
        <v>9764874637.8574104</v>
      </c>
      <c r="BM67" s="319">
        <f t="shared" si="90"/>
        <v>9514613079.9715347</v>
      </c>
      <c r="BN67" s="319">
        <f t="shared" si="90"/>
        <v>9518434881.503643</v>
      </c>
      <c r="BO67" s="319">
        <f t="shared" si="90"/>
        <v>10220684643.265779</v>
      </c>
      <c r="BP67" s="319">
        <f t="shared" si="90"/>
        <v>10285215833.008396</v>
      </c>
      <c r="BQ67" s="319">
        <f t="shared" si="90"/>
        <v>10813848383.957718</v>
      </c>
      <c r="BR67" s="319">
        <f t="shared" si="90"/>
        <v>11293821810.893082</v>
      </c>
      <c r="BS67" s="319">
        <f t="shared" ref="BS67:CM67" si="91">BS46+BS47+BS48+BS49+BS65+BS66</f>
        <v>10427305692.023933</v>
      </c>
      <c r="BT67" s="319">
        <f t="shared" si="91"/>
        <v>8295450778.7389545</v>
      </c>
      <c r="BU67" s="319">
        <f t="shared" si="91"/>
        <v>9742330246.285923</v>
      </c>
      <c r="BV67" s="319">
        <f t="shared" si="91"/>
        <v>9649844846.3726807</v>
      </c>
      <c r="BW67" s="319">
        <f t="shared" si="91"/>
        <v>10120944451.296078</v>
      </c>
      <c r="BX67" s="319">
        <f t="shared" si="91"/>
        <v>8608134203.2720661</v>
      </c>
      <c r="BY67" s="319">
        <f t="shared" si="91"/>
        <v>8743957876.8003082</v>
      </c>
      <c r="BZ67" s="319">
        <f t="shared" si="91"/>
        <v>8653572449.1395531</v>
      </c>
      <c r="CA67" s="319">
        <f t="shared" si="91"/>
        <v>7954971302.6564264</v>
      </c>
      <c r="CB67" s="319">
        <f t="shared" si="91"/>
        <v>8916500658.0655231</v>
      </c>
      <c r="CC67" s="319">
        <f t="shared" si="91"/>
        <v>9673193013.2160091</v>
      </c>
      <c r="CD67" s="319">
        <f t="shared" si="91"/>
        <v>10846027917.149069</v>
      </c>
      <c r="CE67" s="319">
        <f t="shared" si="91"/>
        <v>11788592774.543625</v>
      </c>
      <c r="CF67" s="319">
        <f t="shared" si="91"/>
        <v>12197744095.168997</v>
      </c>
      <c r="CG67" s="319">
        <f t="shared" si="91"/>
        <v>11522899638.976194</v>
      </c>
      <c r="CH67" s="319">
        <f t="shared" si="91"/>
        <v>11411473055.47517</v>
      </c>
      <c r="CI67" s="319">
        <f t="shared" si="91"/>
        <v>12149935743.487242</v>
      </c>
      <c r="CJ67" s="319">
        <f t="shared" si="91"/>
        <v>13212817354.153708</v>
      </c>
      <c r="CK67" s="319">
        <f t="shared" si="91"/>
        <v>13237434708.160496</v>
      </c>
      <c r="CL67" s="319">
        <f t="shared" si="91"/>
        <v>13468510300.037939</v>
      </c>
      <c r="CM67" s="319">
        <f t="shared" si="91"/>
        <v>10109931847.701189</v>
      </c>
      <c r="CN67" s="58"/>
      <c r="CO67" s="58"/>
      <c r="CP67" s="58"/>
      <c r="CQ67" s="58"/>
      <c r="CR67" s="58"/>
      <c r="CS67" s="58"/>
      <c r="CT67" s="58"/>
      <c r="CU67" s="58"/>
      <c r="CV67" s="58"/>
      <c r="CW67" s="58"/>
      <c r="CX67" s="58"/>
      <c r="CY67" s="58"/>
      <c r="CZ67" s="58"/>
      <c r="DA67" s="58"/>
      <c r="DB67" s="58"/>
      <c r="DC67" s="58"/>
      <c r="DD67" s="58"/>
      <c r="DE67" s="58"/>
      <c r="DF67" s="58"/>
      <c r="DG67" s="58"/>
      <c r="DH67" s="58"/>
      <c r="DI67" s="58"/>
      <c r="DJ67" s="58"/>
      <c r="DK67" s="58"/>
      <c r="DL67" s="58"/>
      <c r="DM67" s="58"/>
      <c r="DN67" s="58"/>
      <c r="DO67" s="58"/>
      <c r="DP67" s="58"/>
      <c r="DQ67" s="58"/>
      <c r="DR67" s="58"/>
      <c r="DS67" s="58"/>
      <c r="DT67" s="58"/>
      <c r="DU67" s="58"/>
      <c r="DV67" s="58"/>
      <c r="DW67" s="58"/>
      <c r="DX67" s="58"/>
      <c r="DY67" s="58"/>
      <c r="DZ67" s="58"/>
      <c r="EA67" s="58"/>
      <c r="EB67" s="58"/>
      <c r="EC67" s="58"/>
      <c r="ED67" s="58"/>
      <c r="EE67" s="58"/>
      <c r="EF67" s="58"/>
      <c r="EG67" s="58"/>
      <c r="EH67" s="58"/>
      <c r="EI67" s="58"/>
      <c r="EJ67" s="58"/>
      <c r="EK67" s="58"/>
      <c r="EL67" s="58"/>
      <c r="EM67" s="58"/>
      <c r="EN67" s="58"/>
      <c r="EO67" s="58"/>
      <c r="EP67" s="58"/>
      <c r="EQ67" s="58"/>
      <c r="ER67" s="58"/>
      <c r="ES67" s="58"/>
      <c r="ET67" s="58"/>
      <c r="EU67" s="58"/>
      <c r="EV67" s="58"/>
      <c r="EW67" s="58"/>
      <c r="EX67" s="58"/>
      <c r="EY67" s="58"/>
      <c r="EZ67" s="58"/>
      <c r="FA67" s="58"/>
      <c r="FB67" s="58"/>
      <c r="FC67" s="58"/>
      <c r="FD67" s="58"/>
      <c r="FE67" s="58"/>
      <c r="FF67" s="58"/>
      <c r="FG67" s="58"/>
      <c r="FH67" s="58"/>
      <c r="FI67" s="58"/>
      <c r="FJ67" s="58"/>
      <c r="FK67" s="58"/>
      <c r="FL67" s="58"/>
      <c r="FM67" s="58"/>
      <c r="FN67" s="58"/>
      <c r="FO67" s="58"/>
      <c r="FP67" s="58"/>
      <c r="FQ67" s="58"/>
      <c r="FR67" s="58"/>
      <c r="FS67" s="58"/>
      <c r="FT67" s="58"/>
      <c r="FU67" s="58"/>
      <c r="FV67" s="58"/>
    </row>
    <row r="68" spans="1:178" ht="63.75" customHeight="1">
      <c r="A68" s="1055"/>
      <c r="B68" s="1055"/>
      <c r="C68" s="1055"/>
      <c r="D68" s="1055"/>
      <c r="E68" s="1056"/>
      <c r="F68" s="420" t="s">
        <v>193</v>
      </c>
      <c r="G68" s="621">
        <f t="shared" ref="G68:BR68" si="92">G67-G54-G55</f>
        <v>7207065420.3185635</v>
      </c>
      <c r="H68" s="621">
        <f t="shared" si="92"/>
        <v>7196605867.0775642</v>
      </c>
      <c r="I68" s="621">
        <f t="shared" si="92"/>
        <v>6439901129.7990284</v>
      </c>
      <c r="J68" s="621">
        <f t="shared" si="92"/>
        <v>6230137132.2598753</v>
      </c>
      <c r="K68" s="621">
        <f t="shared" si="92"/>
        <v>6209721515.1190166</v>
      </c>
      <c r="L68" s="621">
        <f t="shared" si="92"/>
        <v>6331126554.2106524</v>
      </c>
      <c r="M68" s="621">
        <f t="shared" si="92"/>
        <v>6276709575.3958321</v>
      </c>
      <c r="N68" s="621">
        <f t="shared" si="92"/>
        <v>6158142854.2328472</v>
      </c>
      <c r="O68" s="621">
        <f t="shared" si="92"/>
        <v>6073261112.1980247</v>
      </c>
      <c r="P68" s="621">
        <f t="shared" si="92"/>
        <v>5938863385.67208</v>
      </c>
      <c r="Q68" s="621">
        <f t="shared" si="92"/>
        <v>5942996501.3752327</v>
      </c>
      <c r="R68" s="621">
        <f t="shared" si="92"/>
        <v>5816876792.9026079</v>
      </c>
      <c r="S68" s="621">
        <f t="shared" si="92"/>
        <v>5929419320.2975702</v>
      </c>
      <c r="T68" s="621">
        <f t="shared" si="92"/>
        <v>5965335702.9088058</v>
      </c>
      <c r="U68" s="621">
        <f t="shared" si="92"/>
        <v>5361874806.1719065</v>
      </c>
      <c r="V68" s="621">
        <f t="shared" si="92"/>
        <v>5857792949.313448</v>
      </c>
      <c r="W68" s="621">
        <f t="shared" si="92"/>
        <v>5074584600.4620495</v>
      </c>
      <c r="X68" s="621">
        <f t="shared" si="92"/>
        <v>5271895756.5249338</v>
      </c>
      <c r="Y68" s="621">
        <f t="shared" si="92"/>
        <v>4972463104.5728369</v>
      </c>
      <c r="Z68" s="621">
        <f t="shared" si="92"/>
        <v>5358379676.3048248</v>
      </c>
      <c r="AA68" s="621">
        <f t="shared" si="92"/>
        <v>5149626327.1652002</v>
      </c>
      <c r="AB68" s="621">
        <f t="shared" si="92"/>
        <v>5468472773.5105953</v>
      </c>
      <c r="AC68" s="621">
        <f t="shared" si="92"/>
        <v>4825664292.7858152</v>
      </c>
      <c r="AD68" s="621">
        <f t="shared" si="92"/>
        <v>4925105344.9871483</v>
      </c>
      <c r="AE68" s="621">
        <f t="shared" si="92"/>
        <v>4276687651.2763295</v>
      </c>
      <c r="AF68" s="621">
        <f t="shared" si="92"/>
        <v>5199506409.5073395</v>
      </c>
      <c r="AG68" s="621">
        <f t="shared" si="92"/>
        <v>5362707253.1039963</v>
      </c>
      <c r="AH68" s="621">
        <f t="shared" si="92"/>
        <v>6480034275.4478607</v>
      </c>
      <c r="AI68" s="621">
        <f t="shared" si="92"/>
        <v>6487797469.5778332</v>
      </c>
      <c r="AJ68" s="621">
        <f t="shared" si="92"/>
        <v>6617294806.6262465</v>
      </c>
      <c r="AK68" s="621">
        <f t="shared" si="92"/>
        <v>6727291980.6386795</v>
      </c>
      <c r="AL68" s="621">
        <f t="shared" si="92"/>
        <v>5974144266.0233021</v>
      </c>
      <c r="AM68" s="621">
        <f t="shared" si="92"/>
        <v>5632201151.5009289</v>
      </c>
      <c r="AN68" s="621">
        <f t="shared" si="92"/>
        <v>5632723032.9487047</v>
      </c>
      <c r="AO68" s="621">
        <f t="shared" si="92"/>
        <v>5476765074.5979414</v>
      </c>
      <c r="AP68" s="621">
        <f t="shared" si="92"/>
        <v>5110938002.3441133</v>
      </c>
      <c r="AQ68" s="621">
        <f t="shared" si="92"/>
        <v>7672542034.0934162</v>
      </c>
      <c r="AR68" s="621">
        <f t="shared" si="92"/>
        <v>7462836621.0434237</v>
      </c>
      <c r="AS68" s="621">
        <f t="shared" si="92"/>
        <v>7232954130.379878</v>
      </c>
      <c r="AT68" s="621">
        <f t="shared" si="92"/>
        <v>7242578282.4054193</v>
      </c>
      <c r="AU68" s="419">
        <f t="shared" si="92"/>
        <v>6710573761.1109276</v>
      </c>
      <c r="AV68" s="419">
        <f t="shared" si="92"/>
        <v>6959879785.8124409</v>
      </c>
      <c r="AW68" s="419">
        <f t="shared" si="92"/>
        <v>7026518173.6739712</v>
      </c>
      <c r="AX68" s="419">
        <f t="shared" si="92"/>
        <v>7395025880.0605793</v>
      </c>
      <c r="AY68" s="419">
        <f t="shared" si="92"/>
        <v>7664983072.7551994</v>
      </c>
      <c r="AZ68" s="419">
        <f t="shared" si="92"/>
        <v>8124578833.9324789</v>
      </c>
      <c r="BA68" s="419">
        <f t="shared" si="92"/>
        <v>8464533528.4175529</v>
      </c>
      <c r="BB68" s="419">
        <f t="shared" si="92"/>
        <v>8849046942.5899487</v>
      </c>
      <c r="BC68" s="419">
        <f t="shared" si="92"/>
        <v>8651056610.1484985</v>
      </c>
      <c r="BD68" s="419">
        <f t="shared" si="92"/>
        <v>6697253272.2181568</v>
      </c>
      <c r="BE68" s="419">
        <f t="shared" si="92"/>
        <v>6059326147.6415701</v>
      </c>
      <c r="BF68" s="419">
        <f t="shared" si="92"/>
        <v>6257837868.2707672</v>
      </c>
      <c r="BG68" s="419">
        <f t="shared" si="92"/>
        <v>6757598306.2236729</v>
      </c>
      <c r="BH68" s="419">
        <f t="shared" si="92"/>
        <v>6969267869.5489521</v>
      </c>
      <c r="BI68" s="419">
        <f t="shared" si="92"/>
        <v>7406690330.8087111</v>
      </c>
      <c r="BJ68" s="419">
        <f t="shared" si="92"/>
        <v>7405795928.7748737</v>
      </c>
      <c r="BK68" s="419">
        <f t="shared" si="92"/>
        <v>6204782521.8197098</v>
      </c>
      <c r="BL68" s="419">
        <f t="shared" si="92"/>
        <v>6276232798.0794563</v>
      </c>
      <c r="BM68" s="419">
        <f t="shared" si="92"/>
        <v>5961892280.454298</v>
      </c>
      <c r="BN68" s="419">
        <f t="shared" si="92"/>
        <v>5917679032.7415581</v>
      </c>
      <c r="BO68" s="419">
        <f t="shared" si="92"/>
        <v>6366306795.8326788</v>
      </c>
      <c r="BP68" s="419">
        <f t="shared" si="92"/>
        <v>6534517879.811718</v>
      </c>
      <c r="BQ68" s="419">
        <f t="shared" si="92"/>
        <v>7175834312.5105</v>
      </c>
      <c r="BR68" s="419">
        <f t="shared" si="92"/>
        <v>7389491320.3950882</v>
      </c>
      <c r="BS68" s="419">
        <f t="shared" ref="BS68:CL68" si="93">BS67-BS54-BS55</f>
        <v>6674351302.4210701</v>
      </c>
      <c r="BT68" s="419">
        <f t="shared" si="93"/>
        <v>5119719129.9100666</v>
      </c>
      <c r="BU68" s="419">
        <f t="shared" si="93"/>
        <v>6811545479.7180681</v>
      </c>
      <c r="BV68" s="419">
        <f t="shared" si="93"/>
        <v>7262909473.8932724</v>
      </c>
      <c r="BW68" s="419">
        <f t="shared" si="93"/>
        <v>7519466118.8109703</v>
      </c>
      <c r="BX68" s="419">
        <f t="shared" si="93"/>
        <v>6019745494.9393435</v>
      </c>
      <c r="BY68" s="419">
        <f t="shared" si="93"/>
        <v>6037873944.4573689</v>
      </c>
      <c r="BZ68" s="419">
        <f t="shared" si="93"/>
        <v>5833697885.2634287</v>
      </c>
      <c r="CA68" s="419">
        <f t="shared" si="93"/>
        <v>5167185936.9278736</v>
      </c>
      <c r="CB68" s="419">
        <f t="shared" si="93"/>
        <v>5781085301.4816303</v>
      </c>
      <c r="CC68" s="419">
        <f t="shared" si="93"/>
        <v>6077209799.8423624</v>
      </c>
      <c r="CD68" s="419">
        <f t="shared" si="93"/>
        <v>6970889155.0920048</v>
      </c>
      <c r="CE68" s="419">
        <f t="shared" si="93"/>
        <v>7930261328.5683107</v>
      </c>
      <c r="CF68" s="419">
        <f t="shared" si="93"/>
        <v>8084601535.6410742</v>
      </c>
      <c r="CG68" s="419">
        <f t="shared" si="93"/>
        <v>7188640602.4551811</v>
      </c>
      <c r="CH68" s="419">
        <f t="shared" si="93"/>
        <v>7134756308.2418327</v>
      </c>
      <c r="CI68" s="419">
        <f t="shared" si="93"/>
        <v>7621709782.1247196</v>
      </c>
      <c r="CJ68" s="419">
        <f t="shared" si="93"/>
        <v>8315089889.2004204</v>
      </c>
      <c r="CK68" s="419">
        <f t="shared" si="93"/>
        <v>8005378866.0679131</v>
      </c>
      <c r="CL68" s="419">
        <f t="shared" si="93"/>
        <v>8242486445.4407482</v>
      </c>
      <c r="CM68" s="419">
        <f>AVERAGE(G68:CL68)</f>
        <v>6495194428.2287245</v>
      </c>
      <c r="CN68" s="58"/>
      <c r="CO68" s="58"/>
      <c r="CP68" s="58"/>
      <c r="CQ68" s="58"/>
      <c r="CR68" s="58"/>
      <c r="CS68" s="58"/>
      <c r="CT68" s="58"/>
      <c r="CU68" s="58"/>
      <c r="CV68" s="58"/>
      <c r="CW68" s="58"/>
      <c r="CX68" s="58"/>
      <c r="CY68" s="58"/>
      <c r="CZ68" s="58"/>
      <c r="DA68" s="58"/>
      <c r="DB68" s="58"/>
      <c r="DC68" s="58"/>
      <c r="DD68" s="58"/>
      <c r="DE68" s="58"/>
      <c r="DF68" s="58"/>
      <c r="DG68" s="58"/>
      <c r="DH68" s="58"/>
      <c r="DI68" s="58"/>
      <c r="DJ68" s="58"/>
      <c r="DK68" s="58"/>
      <c r="DL68" s="58"/>
      <c r="DM68" s="58"/>
      <c r="DN68" s="58"/>
      <c r="DO68" s="58"/>
      <c r="DP68" s="58"/>
      <c r="DQ68" s="58"/>
      <c r="DR68" s="58"/>
      <c r="DS68" s="58"/>
      <c r="DT68" s="58"/>
      <c r="DU68" s="58"/>
      <c r="DV68" s="58"/>
      <c r="DW68" s="58"/>
      <c r="DX68" s="58"/>
      <c r="DY68" s="58"/>
      <c r="DZ68" s="58"/>
      <c r="EA68" s="58"/>
      <c r="EB68" s="58"/>
      <c r="EC68" s="58"/>
      <c r="ED68" s="58"/>
      <c r="EE68" s="58"/>
      <c r="EF68" s="58"/>
      <c r="EG68" s="58"/>
      <c r="EH68" s="58"/>
      <c r="EI68" s="58"/>
      <c r="EJ68" s="58"/>
      <c r="EK68" s="58"/>
      <c r="EL68" s="58"/>
      <c r="EM68" s="58"/>
      <c r="EN68" s="58"/>
      <c r="EO68" s="58"/>
      <c r="EP68" s="58"/>
      <c r="EQ68" s="58"/>
      <c r="ER68" s="58"/>
      <c r="ES68" s="58"/>
      <c r="ET68" s="58"/>
      <c r="EU68" s="58"/>
      <c r="EV68" s="58"/>
      <c r="EW68" s="58"/>
      <c r="EX68" s="58"/>
      <c r="EY68" s="58"/>
      <c r="EZ68" s="58"/>
      <c r="FA68" s="58"/>
      <c r="FB68" s="58"/>
      <c r="FC68" s="58"/>
      <c r="FD68" s="58"/>
      <c r="FE68" s="58"/>
      <c r="FF68" s="58"/>
      <c r="FG68" s="58"/>
      <c r="FH68" s="58"/>
      <c r="FI68" s="58"/>
      <c r="FJ68" s="58"/>
      <c r="FK68" s="58"/>
      <c r="FL68" s="58"/>
      <c r="FM68" s="58"/>
      <c r="FN68" s="58"/>
      <c r="FO68" s="58"/>
      <c r="FP68" s="58"/>
      <c r="FQ68" s="58"/>
      <c r="FR68" s="58"/>
      <c r="FS68" s="58"/>
      <c r="FT68" s="58"/>
      <c r="FU68" s="58"/>
      <c r="FV68" s="58"/>
    </row>
    <row r="69" spans="1:178">
      <c r="A69" s="58"/>
      <c r="B69" s="58"/>
      <c r="C69" s="58"/>
      <c r="D69" s="58"/>
      <c r="E69" s="58"/>
      <c r="F69" s="487" t="s">
        <v>347</v>
      </c>
      <c r="G69" s="488">
        <f t="shared" ref="G69:BR69" si="94">G68*G52/G16</f>
        <v>42269.724314284933</v>
      </c>
      <c r="H69" s="488">
        <f t="shared" si="94"/>
        <v>42109.984537970318</v>
      </c>
      <c r="I69" s="488">
        <f t="shared" si="94"/>
        <v>37401.625061018531</v>
      </c>
      <c r="J69" s="488">
        <f t="shared" si="94"/>
        <v>36082.719459866181</v>
      </c>
      <c r="K69" s="488">
        <f t="shared" si="94"/>
        <v>36020.009192893274</v>
      </c>
      <c r="L69" s="488">
        <f t="shared" si="94"/>
        <v>36722.070059624668</v>
      </c>
      <c r="M69" s="488">
        <f t="shared" si="94"/>
        <v>36384.042450106768</v>
      </c>
      <c r="N69" s="488">
        <f t="shared" si="94"/>
        <v>35687.02203798174</v>
      </c>
      <c r="O69" s="488">
        <f t="shared" si="94"/>
        <v>35179.796664841509</v>
      </c>
      <c r="P69" s="488">
        <f t="shared" si="94"/>
        <v>34395.383694176111</v>
      </c>
      <c r="Q69" s="488">
        <f t="shared" si="94"/>
        <v>34406.821632986226</v>
      </c>
      <c r="R69" s="488">
        <f t="shared" si="94"/>
        <v>33687.509485487608</v>
      </c>
      <c r="S69" s="488">
        <f t="shared" si="94"/>
        <v>34416.114585834199</v>
      </c>
      <c r="T69" s="488">
        <f t="shared" si="94"/>
        <v>34494.39592618696</v>
      </c>
      <c r="U69" s="488">
        <f t="shared" si="94"/>
        <v>31355.262598426965</v>
      </c>
      <c r="V69" s="488">
        <f t="shared" si="94"/>
        <v>34422.532974205002</v>
      </c>
      <c r="W69" s="488">
        <f t="shared" si="94"/>
        <v>30402.753265870426</v>
      </c>
      <c r="X69" s="488">
        <f t="shared" si="94"/>
        <v>30875.551146369744</v>
      </c>
      <c r="Y69" s="488">
        <f t="shared" si="94"/>
        <v>28152.220236624784</v>
      </c>
      <c r="Z69" s="488">
        <f t="shared" si="94"/>
        <v>30452.299422092965</v>
      </c>
      <c r="AA69" s="488">
        <f t="shared" si="94"/>
        <v>29250.739319728549</v>
      </c>
      <c r="AB69" s="488">
        <f t="shared" si="94"/>
        <v>30900.726105062455</v>
      </c>
      <c r="AC69" s="488">
        <f t="shared" si="94"/>
        <v>27768.750169305269</v>
      </c>
      <c r="AD69" s="488">
        <f t="shared" si="94"/>
        <v>28173.119948493237</v>
      </c>
      <c r="AE69" s="488">
        <f t="shared" si="94"/>
        <v>24339.655708267488</v>
      </c>
      <c r="AF69" s="488">
        <f t="shared" si="94"/>
        <v>29801.724367365543</v>
      </c>
      <c r="AG69" s="488">
        <f t="shared" si="94"/>
        <v>30705.553921518855</v>
      </c>
      <c r="AH69" s="488">
        <f t="shared" si="94"/>
        <v>36883.108183431876</v>
      </c>
      <c r="AI69" s="488">
        <f t="shared" si="94"/>
        <v>37119.737171174624</v>
      </c>
      <c r="AJ69" s="488">
        <f t="shared" si="94"/>
        <v>38503.426885207475</v>
      </c>
      <c r="AK69" s="488">
        <f t="shared" si="94"/>
        <v>39127.090481913969</v>
      </c>
      <c r="AL69" s="488">
        <f t="shared" si="94"/>
        <v>34656.54458578449</v>
      </c>
      <c r="AM69" s="488">
        <f t="shared" si="94"/>
        <v>32694.350590268081</v>
      </c>
      <c r="AN69" s="488">
        <f t="shared" si="94"/>
        <v>32774.208688551458</v>
      </c>
      <c r="AO69" s="488">
        <f t="shared" si="94"/>
        <v>31186.955771238576</v>
      </c>
      <c r="AP69" s="488">
        <f t="shared" si="94"/>
        <v>29635.569041473227</v>
      </c>
      <c r="AQ69" s="488">
        <f t="shared" si="94"/>
        <v>44858.60410161873</v>
      </c>
      <c r="AR69" s="488">
        <f t="shared" si="94"/>
        <v>43912.825213977027</v>
      </c>
      <c r="AS69" s="488">
        <f t="shared" si="94"/>
        <v>42792.943540153268</v>
      </c>
      <c r="AT69" s="488">
        <f t="shared" si="94"/>
        <v>42577.247855339192</v>
      </c>
      <c r="AU69" s="489">
        <f t="shared" si="94"/>
        <v>39680.505281989004</v>
      </c>
      <c r="AV69" s="489">
        <f t="shared" si="94"/>
        <v>41585.008135719334</v>
      </c>
      <c r="AW69" s="489">
        <f t="shared" si="94"/>
        <v>41773.234282821126</v>
      </c>
      <c r="AX69" s="489">
        <f t="shared" si="94"/>
        <v>42768.252941498002</v>
      </c>
      <c r="AY69" s="489">
        <f t="shared" si="94"/>
        <v>45423.269802112722</v>
      </c>
      <c r="AZ69" s="489">
        <f t="shared" si="94"/>
        <v>48454.003848100343</v>
      </c>
      <c r="BA69" s="489">
        <f t="shared" si="94"/>
        <v>50489.339301791275</v>
      </c>
      <c r="BB69" s="489">
        <f t="shared" si="94"/>
        <v>52524.848154559208</v>
      </c>
      <c r="BC69" s="489">
        <f t="shared" si="94"/>
        <v>49548.200189439587</v>
      </c>
      <c r="BD69" s="489">
        <f t="shared" si="94"/>
        <v>38821.301019880913</v>
      </c>
      <c r="BE69" s="489">
        <f t="shared" si="94"/>
        <v>35514.618872147286</v>
      </c>
      <c r="BF69" s="489">
        <f t="shared" si="94"/>
        <v>36705.54030451188</v>
      </c>
      <c r="BG69" s="489">
        <f t="shared" si="94"/>
        <v>39263.83080065898</v>
      </c>
      <c r="BH69" s="489">
        <f t="shared" si="94"/>
        <v>40371.313358521809</v>
      </c>
      <c r="BI69" s="489">
        <f t="shared" si="94"/>
        <v>42837.486868273889</v>
      </c>
      <c r="BJ69" s="489">
        <f t="shared" si="94"/>
        <v>42856.002728938285</v>
      </c>
      <c r="BK69" s="489">
        <f t="shared" si="94"/>
        <v>36438.697165885642</v>
      </c>
      <c r="BL69" s="489">
        <f t="shared" si="94"/>
        <v>36758.20093806315</v>
      </c>
      <c r="BM69" s="489">
        <f t="shared" si="94"/>
        <v>35147.930884732319</v>
      </c>
      <c r="BN69" s="489">
        <f t="shared" si="94"/>
        <v>34672.367285186243</v>
      </c>
      <c r="BO69" s="489">
        <f t="shared" si="94"/>
        <v>36916.102189950172</v>
      </c>
      <c r="BP69" s="489">
        <f t="shared" si="94"/>
        <v>37884.538292719444</v>
      </c>
      <c r="BQ69" s="489">
        <f t="shared" si="94"/>
        <v>41429.297547936592</v>
      </c>
      <c r="BR69" s="489">
        <f t="shared" si="94"/>
        <v>42786.707698396247</v>
      </c>
      <c r="BS69" s="489">
        <f t="shared" ref="BS69:CL69" si="95">BS68*BS52/BS16</f>
        <v>38966.524055809161</v>
      </c>
      <c r="BT69" s="489">
        <f t="shared" si="95"/>
        <v>30719.934187265299</v>
      </c>
      <c r="BU69" s="489">
        <f t="shared" si="95"/>
        <v>38853.117851774288</v>
      </c>
      <c r="BV69" s="489">
        <f t="shared" si="95"/>
        <v>41853.701014990307</v>
      </c>
      <c r="BW69" s="489">
        <f t="shared" si="95"/>
        <v>43113.463321980438</v>
      </c>
      <c r="BX69" s="489">
        <f t="shared" si="95"/>
        <v>35214.75263659496</v>
      </c>
      <c r="BY69" s="489">
        <f t="shared" si="95"/>
        <v>35347.125401827041</v>
      </c>
      <c r="BZ69" s="489">
        <f t="shared" si="95"/>
        <v>34337.717982468777</v>
      </c>
      <c r="CA69" s="489">
        <f t="shared" si="95"/>
        <v>30461.297549994531</v>
      </c>
      <c r="CB69" s="489">
        <f t="shared" si="95"/>
        <v>33590.114787502993</v>
      </c>
      <c r="CC69" s="489">
        <f t="shared" si="95"/>
        <v>35147.424959510347</v>
      </c>
      <c r="CD69" s="489">
        <f t="shared" si="95"/>
        <v>39920.029588869191</v>
      </c>
      <c r="CE69" s="489">
        <f t="shared" si="95"/>
        <v>45241.70089146898</v>
      </c>
      <c r="CF69" s="489">
        <f t="shared" si="95"/>
        <v>45979.437263791129</v>
      </c>
      <c r="CG69" s="489">
        <f t="shared" si="95"/>
        <v>40931.846154695115</v>
      </c>
      <c r="CH69" s="489">
        <f t="shared" si="95"/>
        <v>40515.374236095195</v>
      </c>
      <c r="CI69" s="489">
        <f t="shared" si="95"/>
        <v>43087.352492689621</v>
      </c>
      <c r="CJ69" s="489">
        <f t="shared" si="95"/>
        <v>46909.237731865964</v>
      </c>
      <c r="CK69" s="489">
        <f t="shared" si="95"/>
        <v>45189.8855644305</v>
      </c>
      <c r="CL69" s="489">
        <f t="shared" si="95"/>
        <v>46474.374586548271</v>
      </c>
      <c r="CM69" s="489">
        <f>AVERAGE(G69:CL69)</f>
        <v>37679.592030365828</v>
      </c>
      <c r="CN69" s="58"/>
      <c r="CO69" s="58"/>
      <c r="CP69" s="58"/>
      <c r="CQ69" s="58"/>
      <c r="CR69" s="58"/>
      <c r="CS69" s="58"/>
      <c r="CT69" s="58"/>
      <c r="CU69" s="58"/>
      <c r="CV69" s="58"/>
      <c r="CW69" s="58"/>
      <c r="CX69" s="58"/>
      <c r="CY69" s="58"/>
      <c r="CZ69" s="58"/>
      <c r="DA69" s="58"/>
      <c r="DB69" s="58"/>
      <c r="DC69" s="58"/>
      <c r="DD69" s="58"/>
      <c r="DE69" s="58"/>
      <c r="DF69" s="58"/>
      <c r="DG69" s="58"/>
      <c r="DH69" s="58"/>
      <c r="DI69" s="58"/>
      <c r="DJ69" s="58"/>
      <c r="DK69" s="58"/>
      <c r="DL69" s="58"/>
      <c r="DM69" s="58"/>
      <c r="DN69" s="58"/>
      <c r="DO69" s="58"/>
      <c r="DP69" s="58"/>
      <c r="DQ69" s="58"/>
      <c r="DR69" s="58"/>
      <c r="DS69" s="58"/>
      <c r="DT69" s="58"/>
      <c r="DU69" s="58"/>
      <c r="DV69" s="58"/>
      <c r="DW69" s="58"/>
      <c r="DX69" s="58"/>
      <c r="DY69" s="58"/>
      <c r="DZ69" s="58"/>
      <c r="EA69" s="58"/>
      <c r="EB69" s="58"/>
      <c r="EC69" s="58"/>
      <c r="ED69" s="58"/>
      <c r="EE69" s="58"/>
      <c r="EF69" s="58"/>
      <c r="EG69" s="58"/>
      <c r="EH69" s="58"/>
      <c r="EI69" s="58"/>
      <c r="EJ69" s="58"/>
      <c r="EK69" s="58"/>
      <c r="EL69" s="58"/>
      <c r="EM69" s="58"/>
      <c r="EN69" s="58"/>
      <c r="EO69" s="58"/>
      <c r="EP69" s="58"/>
      <c r="EQ69" s="58"/>
      <c r="ER69" s="58"/>
      <c r="ES69" s="58"/>
      <c r="ET69" s="58"/>
      <c r="EU69" s="58"/>
      <c r="EV69" s="58"/>
      <c r="EW69" s="58"/>
      <c r="EX69" s="58"/>
      <c r="EY69" s="58"/>
      <c r="EZ69" s="58"/>
      <c r="FA69" s="58"/>
      <c r="FB69" s="58"/>
      <c r="FC69" s="58"/>
      <c r="FD69" s="58"/>
      <c r="FE69" s="58"/>
      <c r="FF69" s="58"/>
      <c r="FG69" s="58"/>
      <c r="FH69" s="58"/>
      <c r="FI69" s="58"/>
      <c r="FJ69" s="58"/>
      <c r="FK69" s="58"/>
      <c r="FL69" s="58"/>
      <c r="FM69" s="58"/>
      <c r="FN69" s="58"/>
      <c r="FO69" s="58"/>
      <c r="FP69" s="58"/>
      <c r="FQ69" s="58"/>
      <c r="FR69" s="58"/>
      <c r="FS69" s="58"/>
      <c r="FT69" s="58"/>
      <c r="FU69" s="58"/>
      <c r="FV69" s="58"/>
    </row>
    <row r="70" spans="1:178">
      <c r="A70" s="58"/>
      <c r="B70" s="58"/>
      <c r="C70" s="58"/>
      <c r="D70" s="58"/>
      <c r="E70" s="58"/>
      <c r="F70" s="487" t="s">
        <v>348</v>
      </c>
      <c r="G70" s="488">
        <f t="shared" ref="G70:BR70" si="96">G53*G68/G17</f>
        <v>57152.336378344706</v>
      </c>
      <c r="H70" s="488">
        <f t="shared" si="96"/>
        <v>57326.103985058282</v>
      </c>
      <c r="I70" s="488">
        <f t="shared" si="96"/>
        <v>52030.507464291681</v>
      </c>
      <c r="J70" s="488">
        <f t="shared" si="96"/>
        <v>50598.311381323292</v>
      </c>
      <c r="K70" s="488">
        <f t="shared" si="96"/>
        <v>50287.627011246914</v>
      </c>
      <c r="L70" s="488">
        <f t="shared" si="96"/>
        <v>51276.423928757591</v>
      </c>
      <c r="M70" s="488">
        <f t="shared" si="96"/>
        <v>50894.126873111796</v>
      </c>
      <c r="N70" s="488">
        <f t="shared" si="96"/>
        <v>49958.119269672898</v>
      </c>
      <c r="O70" s="488">
        <f t="shared" si="96"/>
        <v>49309.503692744831</v>
      </c>
      <c r="P70" s="488">
        <f t="shared" si="96"/>
        <v>48233.718329806026</v>
      </c>
      <c r="Q70" s="488">
        <f t="shared" si="96"/>
        <v>48299.897286395935</v>
      </c>
      <c r="R70" s="488">
        <f t="shared" si="96"/>
        <v>47246.577859004559</v>
      </c>
      <c r="S70" s="488">
        <f t="shared" si="96"/>
        <v>47960.225894059258</v>
      </c>
      <c r="T70" s="488">
        <f t="shared" si="96"/>
        <v>48590.399695253211</v>
      </c>
      <c r="U70" s="488">
        <f t="shared" si="96"/>
        <v>42760.827840832768</v>
      </c>
      <c r="V70" s="488">
        <f t="shared" si="96"/>
        <v>46279.452083839904</v>
      </c>
      <c r="W70" s="488">
        <f t="shared" si="96"/>
        <v>38571.602424092358</v>
      </c>
      <c r="X70" s="488">
        <f t="shared" si="96"/>
        <v>41922.006890040378</v>
      </c>
      <c r="Y70" s="488">
        <f t="shared" si="96"/>
        <v>42070.799637131655</v>
      </c>
      <c r="Z70" s="488">
        <f t="shared" si="96"/>
        <v>45035.479437067253</v>
      </c>
      <c r="AA70" s="488">
        <f t="shared" si="96"/>
        <v>43320.605826794934</v>
      </c>
      <c r="AB70" s="488">
        <f t="shared" si="96"/>
        <v>46423.213778785372</v>
      </c>
      <c r="AC70" s="488">
        <f t="shared" si="96"/>
        <v>39660.842729591583</v>
      </c>
      <c r="AD70" s="488">
        <f t="shared" si="96"/>
        <v>40916.053555398961</v>
      </c>
      <c r="AE70" s="488">
        <f t="shared" si="96"/>
        <v>35853.567254431124</v>
      </c>
      <c r="AF70" s="488">
        <f t="shared" si="96"/>
        <v>43041.890824746864</v>
      </c>
      <c r="AG70" s="488">
        <f t="shared" si="96"/>
        <v>44475.271434060029</v>
      </c>
      <c r="AH70" s="488">
        <f t="shared" si="96"/>
        <v>54315.704947249011</v>
      </c>
      <c r="AI70" s="488">
        <f t="shared" si="96"/>
        <v>53878.689732952356</v>
      </c>
      <c r="AJ70" s="488">
        <f t="shared" si="96"/>
        <v>53277.102837161678</v>
      </c>
      <c r="AK70" s="488">
        <f t="shared" si="96"/>
        <v>54205.411748003869</v>
      </c>
      <c r="AL70" s="488">
        <f t="shared" si="96"/>
        <v>48371.991358967789</v>
      </c>
      <c r="AM70" s="488">
        <f t="shared" si="96"/>
        <v>45547.355677709151</v>
      </c>
      <c r="AN70" s="488">
        <f t="shared" si="96"/>
        <v>45351.128534787225</v>
      </c>
      <c r="AO70" s="488">
        <f t="shared" si="96"/>
        <v>45869.081554667762</v>
      </c>
      <c r="AP70" s="488">
        <f t="shared" si="96"/>
        <v>41417.767218104796</v>
      </c>
      <c r="AQ70" s="488">
        <f t="shared" si="96"/>
        <v>61211.872707382252</v>
      </c>
      <c r="AR70" s="488">
        <f t="shared" si="96"/>
        <v>58807.541912882327</v>
      </c>
      <c r="AS70" s="488">
        <f t="shared" si="96"/>
        <v>56388.694029725528</v>
      </c>
      <c r="AT70" s="488">
        <f t="shared" si="96"/>
        <v>57175.037655321146</v>
      </c>
      <c r="AU70" s="489">
        <f t="shared" si="96"/>
        <v>52373.141773636446</v>
      </c>
      <c r="AV70" s="489">
        <f t="shared" si="96"/>
        <v>53196.144544966402</v>
      </c>
      <c r="AW70" s="489">
        <f t="shared" si="96"/>
        <v>54253.205388928051</v>
      </c>
      <c r="AX70" s="489">
        <f t="shared" si="96"/>
        <v>60218.372832825458</v>
      </c>
      <c r="AY70" s="489">
        <f t="shared" si="96"/>
        <v>59563.03731690631</v>
      </c>
      <c r="AZ70" s="489">
        <f t="shared" si="96"/>
        <v>62333.141912841842</v>
      </c>
      <c r="BA70" s="489">
        <f t="shared" si="96"/>
        <v>64920.754839166919</v>
      </c>
      <c r="BB70" s="489">
        <f t="shared" si="96"/>
        <v>68543.106179469556</v>
      </c>
      <c r="BC70" s="489">
        <f t="shared" si="96"/>
        <v>71709.52263752892</v>
      </c>
      <c r="BD70" s="489">
        <f t="shared" si="96"/>
        <v>54305.36208329416</v>
      </c>
      <c r="BE70" s="489">
        <f t="shared" si="96"/>
        <v>48112.207314437663</v>
      </c>
      <c r="BF70" s="489">
        <f t="shared" si="96"/>
        <v>49616.903326847983</v>
      </c>
      <c r="BG70" s="489">
        <f t="shared" si="96"/>
        <v>54552.731619771301</v>
      </c>
      <c r="BH70" s="489">
        <f t="shared" si="96"/>
        <v>56580.80526036954</v>
      </c>
      <c r="BI70" s="489">
        <f t="shared" si="96"/>
        <v>60308.729215749918</v>
      </c>
      <c r="BJ70" s="489">
        <f t="shared" si="96"/>
        <v>60239.642129586166</v>
      </c>
      <c r="BK70" s="489">
        <f t="shared" si="96"/>
        <v>49080.517954735536</v>
      </c>
      <c r="BL70" s="489">
        <f t="shared" si="96"/>
        <v>49906.862682315666</v>
      </c>
      <c r="BM70" s="489">
        <f t="shared" si="96"/>
        <v>46805.314911573143</v>
      </c>
      <c r="BN70" s="489">
        <f t="shared" si="96"/>
        <v>47018.905945172992</v>
      </c>
      <c r="BO70" s="489">
        <f t="shared" si="96"/>
        <v>51587.499318217648</v>
      </c>
      <c r="BP70" s="489">
        <f t="shared" si="96"/>
        <v>52968.718231710329</v>
      </c>
      <c r="BQ70" s="489">
        <f t="shared" si="96"/>
        <v>58619.46523132611</v>
      </c>
      <c r="BR70" s="489">
        <f t="shared" si="96"/>
        <v>60041.644750686828</v>
      </c>
      <c r="BS70" s="489">
        <f t="shared" ref="BS70:CL70" si="97">BS53*BS68/BS17</f>
        <v>53394.412089547113</v>
      </c>
      <c r="BT70" s="489">
        <f t="shared" si="97"/>
        <v>38792.638530943193</v>
      </c>
      <c r="BU70" s="489">
        <f t="shared" si="97"/>
        <v>56877.594610213557</v>
      </c>
      <c r="BV70" s="489">
        <f t="shared" si="97"/>
        <v>59535.122619478148</v>
      </c>
      <c r="BW70" s="489">
        <f t="shared" si="97"/>
        <v>62208.71440587801</v>
      </c>
      <c r="BX70" s="489">
        <f t="shared" si="97"/>
        <v>47975.024807463968</v>
      </c>
      <c r="BY70" s="489">
        <f t="shared" si="97"/>
        <v>48050.82258344657</v>
      </c>
      <c r="BZ70" s="489">
        <f t="shared" si="97"/>
        <v>45940.958295140052</v>
      </c>
      <c r="CA70" s="489">
        <f t="shared" si="97"/>
        <v>40570.178842953952</v>
      </c>
      <c r="CB70" s="489">
        <f t="shared" si="97"/>
        <v>46669.172705107223</v>
      </c>
      <c r="CC70" s="489">
        <f t="shared" si="97"/>
        <v>49485.698324724603</v>
      </c>
      <c r="CD70" s="489">
        <f t="shared" si="97"/>
        <v>57795.880279542187</v>
      </c>
      <c r="CE70" s="489">
        <f t="shared" si="97"/>
        <v>66199.714730036969</v>
      </c>
      <c r="CF70" s="489">
        <f t="shared" si="97"/>
        <v>67860.585247814044</v>
      </c>
      <c r="CG70" s="489">
        <f t="shared" si="97"/>
        <v>60214.843274378654</v>
      </c>
      <c r="CH70" s="489">
        <f t="shared" si="97"/>
        <v>60049.584495672498</v>
      </c>
      <c r="CI70" s="489">
        <f t="shared" si="97"/>
        <v>64652.16897434662</v>
      </c>
      <c r="CJ70" s="489">
        <f t="shared" si="97"/>
        <v>70789.43459349536</v>
      </c>
      <c r="CK70" s="489">
        <f t="shared" si="97"/>
        <v>68080.037132689671</v>
      </c>
      <c r="CL70" s="489">
        <f t="shared" si="97"/>
        <v>70237.274535814489</v>
      </c>
      <c r="CM70" s="489">
        <f>AVERAGE(G70:CL70)</f>
        <v>52589.862751923225</v>
      </c>
      <c r="CN70" s="58"/>
      <c r="CO70" s="58"/>
      <c r="CP70" s="58"/>
      <c r="CQ70" s="58"/>
      <c r="CR70" s="58"/>
      <c r="CS70" s="58"/>
      <c r="CT70" s="58"/>
      <c r="CU70" s="58"/>
      <c r="CV70" s="58"/>
      <c r="CW70" s="58"/>
      <c r="CX70" s="58"/>
      <c r="CY70" s="58"/>
      <c r="CZ70" s="58"/>
      <c r="DA70" s="58"/>
      <c r="DB70" s="58"/>
      <c r="DC70" s="58"/>
      <c r="DD70" s="58"/>
      <c r="DE70" s="58"/>
      <c r="DF70" s="58"/>
      <c r="DG70" s="58"/>
      <c r="DH70" s="58"/>
      <c r="DI70" s="58"/>
      <c r="DJ70" s="58"/>
      <c r="DK70" s="58"/>
      <c r="DL70" s="58"/>
      <c r="DM70" s="58"/>
      <c r="DN70" s="58"/>
      <c r="DO70" s="58"/>
      <c r="DP70" s="58"/>
      <c r="DQ70" s="58"/>
      <c r="DR70" s="58"/>
      <c r="DS70" s="58"/>
      <c r="DT70" s="58"/>
      <c r="DU70" s="58"/>
      <c r="DV70" s="58"/>
      <c r="DW70" s="58"/>
      <c r="DX70" s="58"/>
      <c r="DY70" s="58"/>
      <c r="DZ70" s="58"/>
      <c r="EA70" s="58"/>
      <c r="EB70" s="58"/>
      <c r="EC70" s="58"/>
      <c r="ED70" s="58"/>
      <c r="EE70" s="58"/>
      <c r="EF70" s="58"/>
      <c r="EG70" s="58"/>
      <c r="EH70" s="58"/>
      <c r="EI70" s="58"/>
      <c r="EJ70" s="58"/>
      <c r="EK70" s="58"/>
      <c r="EL70" s="58"/>
      <c r="EM70" s="58"/>
      <c r="EN70" s="58"/>
      <c r="EO70" s="58"/>
      <c r="EP70" s="58"/>
      <c r="EQ70" s="58"/>
      <c r="ER70" s="58"/>
      <c r="ES70" s="58"/>
      <c r="ET70" s="58"/>
      <c r="EU70" s="58"/>
      <c r="EV70" s="58"/>
      <c r="EW70" s="58"/>
      <c r="EX70" s="58"/>
      <c r="EY70" s="58"/>
      <c r="EZ70" s="58"/>
      <c r="FA70" s="58"/>
      <c r="FB70" s="58"/>
      <c r="FC70" s="58"/>
      <c r="FD70" s="58"/>
      <c r="FE70" s="58"/>
      <c r="FF70" s="58"/>
      <c r="FG70" s="58"/>
      <c r="FH70" s="58"/>
      <c r="FI70" s="58"/>
      <c r="FJ70" s="58"/>
      <c r="FK70" s="58"/>
      <c r="FL70" s="58"/>
      <c r="FM70" s="58"/>
      <c r="FN70" s="58"/>
      <c r="FO70" s="58"/>
      <c r="FP70" s="58"/>
      <c r="FQ70" s="58"/>
      <c r="FR70" s="58"/>
      <c r="FS70" s="58"/>
      <c r="FT70" s="58"/>
      <c r="FU70" s="58"/>
      <c r="FV70" s="58"/>
    </row>
    <row r="71" spans="1:178">
      <c r="F71" s="315"/>
      <c r="G71" s="315"/>
      <c r="H71" s="315"/>
      <c r="I71" s="315"/>
      <c r="J71" s="315"/>
      <c r="K71" s="315"/>
      <c r="L71" s="315"/>
      <c r="M71" s="315"/>
      <c r="N71" s="315"/>
      <c r="O71" s="315"/>
      <c r="P71" s="315"/>
      <c r="Q71" s="315"/>
      <c r="R71" s="315"/>
      <c r="S71" s="316"/>
      <c r="T71" s="316"/>
      <c r="U71" s="316"/>
      <c r="V71" s="316"/>
      <c r="W71" s="316"/>
      <c r="X71" s="316"/>
      <c r="Y71" s="316"/>
      <c r="Z71" s="316"/>
      <c r="AA71" s="316"/>
      <c r="AB71" s="316"/>
      <c r="AC71" s="316"/>
      <c r="AD71" s="316"/>
      <c r="AE71" s="316"/>
      <c r="AF71" s="316"/>
      <c r="AG71" s="316"/>
      <c r="AH71" s="316"/>
      <c r="AI71" s="316"/>
      <c r="AJ71" s="316"/>
      <c r="AK71" s="316"/>
      <c r="AL71" s="316"/>
      <c r="AM71" s="316"/>
      <c r="AN71" s="316"/>
      <c r="AO71" s="316"/>
      <c r="AP71" s="316"/>
      <c r="AQ71" s="316"/>
      <c r="AR71" s="316"/>
      <c r="AS71" s="316"/>
      <c r="AT71" s="317"/>
      <c r="AU71" s="318"/>
      <c r="AV71" s="318"/>
      <c r="AW71" s="318"/>
      <c r="AX71" s="318"/>
      <c r="AY71" s="318"/>
      <c r="AZ71" s="318"/>
      <c r="BA71" s="318"/>
      <c r="BB71" s="318"/>
      <c r="BC71" s="318"/>
      <c r="BD71" s="318"/>
      <c r="BE71" s="318"/>
      <c r="BF71" s="318"/>
      <c r="BG71" s="318"/>
      <c r="BH71" s="318"/>
      <c r="BI71" s="318"/>
      <c r="BJ71" s="318"/>
      <c r="BK71" s="318"/>
      <c r="BL71" s="318"/>
      <c r="BM71" s="318"/>
      <c r="BN71" s="318"/>
      <c r="BO71" s="318"/>
      <c r="BP71" s="318"/>
      <c r="BQ71" s="318"/>
      <c r="BR71" s="318"/>
      <c r="BS71" s="318"/>
      <c r="BT71" s="318"/>
      <c r="BU71" s="318"/>
      <c r="BV71" s="318"/>
      <c r="BW71" s="318"/>
      <c r="BX71" s="318"/>
      <c r="BY71" s="318"/>
      <c r="BZ71" s="318"/>
      <c r="CA71" s="318"/>
      <c r="CB71" s="318"/>
      <c r="CC71" s="318"/>
      <c r="CD71" s="318"/>
      <c r="CE71" s="318"/>
      <c r="CF71" s="318"/>
      <c r="CG71" s="318"/>
      <c r="CH71" s="318"/>
      <c r="CI71" s="318"/>
      <c r="CJ71" s="318"/>
      <c r="CK71" s="318"/>
      <c r="CL71" s="318"/>
      <c r="CM71" s="319"/>
    </row>
    <row r="72" spans="1:178">
      <c r="F72" s="320" t="s">
        <v>408</v>
      </c>
      <c r="G72" s="320"/>
      <c r="H72" s="320"/>
      <c r="I72" s="320"/>
      <c r="J72" s="320"/>
      <c r="K72" s="320"/>
      <c r="L72" s="320"/>
      <c r="M72" s="320"/>
      <c r="N72" s="320"/>
      <c r="O72" s="320"/>
      <c r="P72" s="320"/>
      <c r="Q72" s="320"/>
      <c r="R72" s="320"/>
      <c r="S72" s="321">
        <v>79308</v>
      </c>
      <c r="T72" s="321">
        <v>87844.5</v>
      </c>
      <c r="U72" s="321">
        <v>84301.2</v>
      </c>
      <c r="V72" s="321">
        <v>71658</v>
      </c>
      <c r="W72" s="321">
        <v>73467</v>
      </c>
      <c r="X72" s="321">
        <v>79317</v>
      </c>
      <c r="Y72" s="321">
        <v>83124</v>
      </c>
      <c r="Z72" s="321">
        <v>80424</v>
      </c>
      <c r="AA72" s="321">
        <v>78174</v>
      </c>
      <c r="AB72" s="321">
        <v>79992</v>
      </c>
      <c r="AC72" s="321">
        <v>80892</v>
      </c>
      <c r="AD72" s="321">
        <v>80892</v>
      </c>
      <c r="AE72" s="321">
        <v>79920</v>
      </c>
      <c r="AF72" s="321">
        <v>79920</v>
      </c>
      <c r="AG72" s="321">
        <v>79020</v>
      </c>
      <c r="AH72" s="321">
        <v>80838</v>
      </c>
      <c r="AI72" s="321">
        <v>80838</v>
      </c>
      <c r="AJ72" s="321">
        <v>81738</v>
      </c>
      <c r="AK72" s="321">
        <v>80838</v>
      </c>
      <c r="AL72" s="321">
        <v>80838</v>
      </c>
      <c r="AM72" s="321">
        <v>80838</v>
      </c>
      <c r="AN72" s="321">
        <v>80478</v>
      </c>
      <c r="AO72" s="321">
        <v>73638</v>
      </c>
      <c r="AP72" s="321">
        <v>73638</v>
      </c>
      <c r="AQ72" s="321">
        <v>73638</v>
      </c>
      <c r="AR72" s="321">
        <v>75069</v>
      </c>
      <c r="AS72" s="321">
        <v>74097</v>
      </c>
      <c r="AT72" s="322">
        <v>77120</v>
      </c>
      <c r="AU72" s="323">
        <v>78330</v>
      </c>
      <c r="AV72" s="323">
        <v>78330</v>
      </c>
      <c r="AW72" s="323">
        <v>79710</v>
      </c>
      <c r="AX72" s="323">
        <v>81840</v>
      </c>
      <c r="AY72" s="323">
        <v>82290</v>
      </c>
      <c r="AZ72" s="323">
        <v>81605</v>
      </c>
      <c r="BA72" s="323">
        <v>80450</v>
      </c>
      <c r="BB72" s="323">
        <v>82290</v>
      </c>
      <c r="BC72" s="323">
        <v>84860</v>
      </c>
      <c r="BD72" s="323">
        <v>82790</v>
      </c>
      <c r="BE72" s="323">
        <v>75410</v>
      </c>
      <c r="BF72" s="323">
        <v>75535</v>
      </c>
      <c r="BG72" s="323">
        <v>75515</v>
      </c>
      <c r="BH72" s="323">
        <v>76895</v>
      </c>
      <c r="BI72" s="323">
        <v>76895</v>
      </c>
      <c r="BJ72" s="323">
        <v>73118.75</v>
      </c>
      <c r="BK72" s="323">
        <v>69505.666666666672</v>
      </c>
      <c r="BL72" s="323">
        <v>68825</v>
      </c>
      <c r="BM72" s="323">
        <v>69518</v>
      </c>
      <c r="BN72" s="323">
        <v>66726.666666666672</v>
      </c>
      <c r="BO72" s="323">
        <v>68260</v>
      </c>
      <c r="BP72" s="323">
        <v>65340</v>
      </c>
      <c r="BQ72" s="323">
        <v>64110</v>
      </c>
      <c r="BR72" s="323">
        <v>65725</v>
      </c>
      <c r="BS72" s="323">
        <v>66420</v>
      </c>
      <c r="BT72" s="323">
        <v>66430</v>
      </c>
      <c r="BU72" s="323">
        <v>62745</v>
      </c>
      <c r="BV72" s="323">
        <v>59985</v>
      </c>
      <c r="BW72" s="323">
        <v>63743.333333333336</v>
      </c>
      <c r="BX72" s="323">
        <v>67265</v>
      </c>
      <c r="BY72" s="323">
        <v>67680</v>
      </c>
      <c r="BZ72" s="323">
        <v>68533.333333333328</v>
      </c>
      <c r="CA72" s="323">
        <v>71170</v>
      </c>
      <c r="CB72" s="323">
        <v>74566.666666666672</v>
      </c>
      <c r="CC72" s="323">
        <v>80425</v>
      </c>
      <c r="CD72" s="323">
        <v>79965</v>
      </c>
      <c r="CE72" s="323">
        <v>83513.333333333328</v>
      </c>
      <c r="CF72" s="323">
        <v>94750</v>
      </c>
      <c r="CG72" s="323">
        <v>97356.666666666672</v>
      </c>
      <c r="CH72" s="323">
        <v>88703.333333333328</v>
      </c>
      <c r="CI72" s="323">
        <v>85010</v>
      </c>
      <c r="CJ72" s="323">
        <v>87430</v>
      </c>
      <c r="CK72" s="323">
        <v>92103.333333333328</v>
      </c>
      <c r="CL72" s="323">
        <v>94270</v>
      </c>
      <c r="CM72" s="324">
        <f>AVERAGE(S72:CL72)</f>
        <v>77330.538657407393</v>
      </c>
    </row>
    <row r="73" spans="1:178">
      <c r="F73" s="325" t="s">
        <v>409</v>
      </c>
      <c r="G73" s="325"/>
      <c r="H73" s="325"/>
      <c r="I73" s="325"/>
      <c r="J73" s="325"/>
      <c r="K73" s="325"/>
      <c r="L73" s="325"/>
      <c r="M73" s="325"/>
      <c r="N73" s="325"/>
      <c r="O73" s="325"/>
      <c r="P73" s="325"/>
      <c r="Q73" s="325"/>
      <c r="R73" s="325"/>
      <c r="S73" s="326">
        <v>81045</v>
      </c>
      <c r="T73" s="326">
        <v>88461.9</v>
      </c>
      <c r="U73" s="326">
        <v>84411.9</v>
      </c>
      <c r="V73" s="326">
        <v>73836</v>
      </c>
      <c r="W73" s="326">
        <v>75195</v>
      </c>
      <c r="X73" s="326">
        <v>78795</v>
      </c>
      <c r="Y73" s="326">
        <v>81990</v>
      </c>
      <c r="Z73" s="326">
        <v>80190</v>
      </c>
      <c r="AA73" s="326">
        <v>78840</v>
      </c>
      <c r="AB73" s="326">
        <v>80235</v>
      </c>
      <c r="AC73" s="326">
        <v>80235</v>
      </c>
      <c r="AD73" s="326">
        <v>80235</v>
      </c>
      <c r="AE73" s="326">
        <v>78345</v>
      </c>
      <c r="AF73" s="326">
        <v>78345</v>
      </c>
      <c r="AG73" s="326">
        <v>76545</v>
      </c>
      <c r="AH73" s="326">
        <v>78399</v>
      </c>
      <c r="AI73" s="326">
        <v>78399</v>
      </c>
      <c r="AJ73" s="326">
        <v>78399</v>
      </c>
      <c r="AK73" s="326">
        <v>77499</v>
      </c>
      <c r="AL73" s="326">
        <v>77499</v>
      </c>
      <c r="AM73" s="326">
        <v>77499</v>
      </c>
      <c r="AN73" s="326">
        <v>74799</v>
      </c>
      <c r="AO73" s="326">
        <v>71199</v>
      </c>
      <c r="AP73" s="326">
        <v>71199</v>
      </c>
      <c r="AQ73" s="326">
        <v>72549</v>
      </c>
      <c r="AR73" s="326">
        <v>73008</v>
      </c>
      <c r="AS73" s="326">
        <v>74358</v>
      </c>
      <c r="AT73" s="327">
        <v>80539.58795362903</v>
      </c>
      <c r="AU73" s="328">
        <v>86934.170866935485</v>
      </c>
      <c r="AV73" s="328">
        <v>89341.653225806454</v>
      </c>
      <c r="AW73" s="328">
        <v>91140.766129032243</v>
      </c>
      <c r="AX73" s="328">
        <v>96099.868951612909</v>
      </c>
      <c r="AY73" s="328">
        <v>97828.508064516122</v>
      </c>
      <c r="AZ73" s="328">
        <v>97836.572580645152</v>
      </c>
      <c r="BA73" s="328">
        <v>97190.645161290318</v>
      </c>
      <c r="BB73" s="328">
        <v>97364.107862903213</v>
      </c>
      <c r="BC73" s="328">
        <v>98086.408770161288</v>
      </c>
      <c r="BD73" s="328">
        <v>93706.549059139783</v>
      </c>
      <c r="BE73" s="328">
        <v>83380.277217741939</v>
      </c>
      <c r="BF73" s="328">
        <v>81038.145161290318</v>
      </c>
      <c r="BG73" s="328">
        <v>79961.224798387091</v>
      </c>
      <c r="BH73" s="328">
        <v>79961.224798387091</v>
      </c>
      <c r="BI73" s="328">
        <v>79961.224798387091</v>
      </c>
      <c r="BJ73" s="328">
        <v>77660.846774193546</v>
      </c>
      <c r="BK73" s="328">
        <v>72853.889616935485</v>
      </c>
      <c r="BL73" s="328">
        <v>70820.866935483864</v>
      </c>
      <c r="BM73" s="328">
        <v>71429.147177419349</v>
      </c>
      <c r="BN73" s="328">
        <v>70584.057459677424</v>
      </c>
      <c r="BO73" s="328">
        <v>70105.042002688162</v>
      </c>
      <c r="BP73" s="328">
        <v>67182.930947580651</v>
      </c>
      <c r="BQ73" s="328">
        <v>66724.662298387091</v>
      </c>
      <c r="BR73" s="328">
        <v>67824.059979838712</v>
      </c>
      <c r="BS73" s="328">
        <v>68500.904737903227</v>
      </c>
      <c r="BT73" s="328">
        <v>68724.480846774197</v>
      </c>
      <c r="BU73" s="328">
        <v>66429.480846774182</v>
      </c>
      <c r="BV73" s="328">
        <v>63588.351814516129</v>
      </c>
      <c r="BW73" s="328">
        <v>66402.384072580651</v>
      </c>
      <c r="BX73" s="328">
        <v>70905.260416666657</v>
      </c>
      <c r="BY73" s="328">
        <v>72930.645161290318</v>
      </c>
      <c r="BZ73" s="328">
        <v>74167.31182795699</v>
      </c>
      <c r="CA73" s="328">
        <v>76190.645161290318</v>
      </c>
      <c r="CB73" s="328">
        <v>78563.440860215051</v>
      </c>
      <c r="CC73" s="328">
        <v>82576.774193548394</v>
      </c>
      <c r="CD73" s="328">
        <v>83057.285786290318</v>
      </c>
      <c r="CE73" s="328">
        <v>87461.036626344096</v>
      </c>
      <c r="CF73" s="328">
        <v>95744.682459677424</v>
      </c>
      <c r="CG73" s="328">
        <v>100247.4932795699</v>
      </c>
      <c r="CH73" s="328">
        <v>93822.923387096787</v>
      </c>
      <c r="CI73" s="328">
        <v>89059.213709677409</v>
      </c>
      <c r="CJ73" s="328">
        <v>89672.547043010738</v>
      </c>
      <c r="CK73" s="328">
        <v>92655.342741935485</v>
      </c>
      <c r="CL73" s="328">
        <v>93595.342741935485</v>
      </c>
      <c r="CM73" s="329">
        <f>AVERAGE(S73:CL73)</f>
        <v>80296.705365376722</v>
      </c>
    </row>
    <row r="74" spans="1:178">
      <c r="F74" s="330" t="s">
        <v>410</v>
      </c>
      <c r="G74" s="330"/>
      <c r="H74" s="330"/>
      <c r="I74" s="330"/>
      <c r="J74" s="330"/>
      <c r="K74" s="330"/>
      <c r="L74" s="330"/>
      <c r="M74" s="330"/>
      <c r="N74" s="330"/>
      <c r="O74" s="330"/>
      <c r="P74" s="330"/>
      <c r="Q74" s="330"/>
      <c r="R74" s="330"/>
      <c r="S74" s="331">
        <v>73130.399999999994</v>
      </c>
      <c r="T74" s="331">
        <v>75137.399999999994</v>
      </c>
      <c r="U74" s="331">
        <v>70196.399999999994</v>
      </c>
      <c r="V74" s="331">
        <v>67642.2</v>
      </c>
      <c r="W74" s="331">
        <v>66744</v>
      </c>
      <c r="X74" s="331">
        <v>71694.899999999994</v>
      </c>
      <c r="Y74" s="331">
        <v>73773</v>
      </c>
      <c r="Z74" s="331">
        <v>70695</v>
      </c>
      <c r="AA74" s="331">
        <v>66735</v>
      </c>
      <c r="AB74" s="331">
        <v>72495</v>
      </c>
      <c r="AC74" s="331">
        <v>71613</v>
      </c>
      <c r="AD74" s="331">
        <v>71172</v>
      </c>
      <c r="AE74" s="331">
        <v>69300</v>
      </c>
      <c r="AF74" s="331">
        <v>71055</v>
      </c>
      <c r="AG74" s="331">
        <v>71055</v>
      </c>
      <c r="AH74" s="331">
        <v>75069</v>
      </c>
      <c r="AI74" s="331">
        <v>75069</v>
      </c>
      <c r="AJ74" s="331">
        <v>78147</v>
      </c>
      <c r="AK74" s="331">
        <v>74601</v>
      </c>
      <c r="AL74" s="331">
        <v>73314</v>
      </c>
      <c r="AM74" s="331">
        <v>73314</v>
      </c>
      <c r="AN74" s="331">
        <v>71992.800000000003</v>
      </c>
      <c r="AO74" s="331">
        <v>74170.8</v>
      </c>
      <c r="AP74" s="331">
        <v>75970.8</v>
      </c>
      <c r="AQ74" s="331">
        <v>79579.8</v>
      </c>
      <c r="AR74" s="331">
        <v>78679.8</v>
      </c>
      <c r="AS74" s="331">
        <v>78679.8</v>
      </c>
      <c r="AT74" s="332">
        <v>82316.144548146898</v>
      </c>
      <c r="AU74" s="333">
        <v>87120.247838398529</v>
      </c>
      <c r="AV74" s="333">
        <v>88230.55929702321</v>
      </c>
      <c r="AW74" s="333">
        <v>88137.702676638582</v>
      </c>
      <c r="AX74" s="333">
        <v>90726.081075997456</v>
      </c>
      <c r="AY74" s="333">
        <v>93640.936364928682</v>
      </c>
      <c r="AZ74" s="333">
        <v>92952.565226764884</v>
      </c>
      <c r="BA74" s="333">
        <v>90410.936364928682</v>
      </c>
      <c r="BB74" s="333">
        <v>92250.936364928682</v>
      </c>
      <c r="BC74" s="333">
        <v>94825.936364928682</v>
      </c>
      <c r="BD74" s="333">
        <v>91827.603031595354</v>
      </c>
      <c r="BE74" s="333">
        <v>79800.936364928682</v>
      </c>
      <c r="BF74" s="333">
        <v>79925.936364928668</v>
      </c>
      <c r="BG74" s="333">
        <v>82092.565226764898</v>
      </c>
      <c r="BH74" s="333">
        <v>83705.936364928682</v>
      </c>
      <c r="BI74" s="333">
        <v>86337.244991853178</v>
      </c>
      <c r="BJ74" s="333">
        <v>88343.09322299331</v>
      </c>
      <c r="BK74" s="333">
        <v>84371.0867978694</v>
      </c>
      <c r="BL74" s="333">
        <v>82533.667556645247</v>
      </c>
      <c r="BM74" s="333">
        <v>83915.296418481477</v>
      </c>
      <c r="BN74" s="333">
        <v>85998.353851846667</v>
      </c>
      <c r="BO74" s="333">
        <v>83680.839372426868</v>
      </c>
      <c r="BP74" s="333">
        <v>78296.420131202744</v>
      </c>
      <c r="BQ74" s="333">
        <v>74908.667556645261</v>
      </c>
      <c r="BR74" s="333">
        <v>75368.667556645261</v>
      </c>
      <c r="BS74" s="333">
        <v>74755.334223311933</v>
      </c>
      <c r="BT74" s="333">
        <v>71698.667556645261</v>
      </c>
      <c r="BU74" s="333">
        <v>67093.667556645261</v>
      </c>
      <c r="BV74" s="333">
        <v>66173.667556645261</v>
      </c>
      <c r="BW74" s="333">
        <v>70296.297866503111</v>
      </c>
      <c r="BX74" s="333">
        <v>73811.225510968739</v>
      </c>
      <c r="BY74" s="333">
        <v>73104.932138219243</v>
      </c>
      <c r="BZ74" s="333">
        <v>73109.932138219243</v>
      </c>
      <c r="CA74" s="333">
        <v>76518.265471552571</v>
      </c>
      <c r="CB74" s="333">
        <v>82074.932138219243</v>
      </c>
      <c r="CC74" s="333">
        <v>90244.932138219243</v>
      </c>
      <c r="CD74" s="333">
        <v>93047.449038505991</v>
      </c>
      <c r="CE74" s="333">
        <v>98603.920574120828</v>
      </c>
      <c r="CF74" s="333">
        <v>112597.05572119531</v>
      </c>
      <c r="CG74" s="333">
        <v>112518.32981716725</v>
      </c>
      <c r="CH74" s="333">
        <v>106216.66315050058</v>
      </c>
      <c r="CI74" s="333">
        <v>98978.114255042339</v>
      </c>
      <c r="CJ74" s="333">
        <v>99434.349797459188</v>
      </c>
      <c r="CK74" s="333">
        <v>103781.54397226339</v>
      </c>
      <c r="CL74" s="333">
        <v>105181.5439722634</v>
      </c>
      <c r="CM74" s="334">
        <f>AVERAGE(S74:CL74)</f>
        <v>81416.46229897374</v>
      </c>
    </row>
    <row r="75" spans="1:178">
      <c r="F75" s="293"/>
      <c r="G75" s="294"/>
      <c r="H75" s="29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294"/>
      <c r="AS75" s="294"/>
      <c r="AT75" s="335"/>
      <c r="AU75" s="225"/>
      <c r="AV75" s="225"/>
      <c r="AW75" s="225"/>
      <c r="AX75" s="225"/>
      <c r="AY75" s="225"/>
      <c r="AZ75" s="225"/>
      <c r="BA75" s="225"/>
      <c r="BB75" s="225"/>
      <c r="BC75" s="225"/>
      <c r="BD75" s="225"/>
      <c r="BE75" s="225"/>
      <c r="BF75" s="225"/>
      <c r="BG75" s="225"/>
      <c r="BH75" s="225"/>
      <c r="BI75" s="225"/>
      <c r="BJ75" s="225"/>
      <c r="BK75" s="225"/>
      <c r="BL75" s="225"/>
      <c r="BM75" s="225"/>
      <c r="BN75" s="225"/>
      <c r="BO75" s="225"/>
      <c r="BP75" s="225"/>
      <c r="BQ75" s="225"/>
      <c r="BR75" s="225"/>
      <c r="BS75" s="225"/>
      <c r="BT75" s="225"/>
      <c r="BU75" s="225"/>
      <c r="BV75" s="225"/>
      <c r="BW75" s="225"/>
      <c r="BX75" s="225"/>
      <c r="BY75" s="225"/>
      <c r="BZ75" s="225"/>
      <c r="CA75" s="225"/>
      <c r="CB75" s="225"/>
      <c r="CC75" s="225"/>
      <c r="CD75" s="225"/>
      <c r="CE75" s="225"/>
      <c r="CF75" s="225"/>
      <c r="CG75" s="225"/>
      <c r="CH75" s="225"/>
      <c r="CI75" s="225"/>
      <c r="CJ75" s="225"/>
      <c r="CK75" s="225"/>
      <c r="CL75" s="225"/>
      <c r="CM75" s="336"/>
    </row>
  </sheetData>
  <mergeCells count="12">
    <mergeCell ref="A2:A6"/>
    <mergeCell ref="A7:A11"/>
    <mergeCell ref="A12:A15"/>
    <mergeCell ref="E12:E15"/>
    <mergeCell ref="A16:A22"/>
    <mergeCell ref="E16:E22"/>
    <mergeCell ref="A23:A33"/>
    <mergeCell ref="A34:A40"/>
    <mergeCell ref="E34:E40"/>
    <mergeCell ref="A42:A43"/>
    <mergeCell ref="A59:E68"/>
    <mergeCell ref="A56:A57"/>
  </mergeCells>
  <pageMargins left="0.7" right="0.7" top="0.75" bottom="0.75" header="0.3" footer="0.3"/>
  <pageSetup orientation="portrait" r:id="rId1"/>
  <ignoredErrors>
    <ignoredError sqref="CM14"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09F0D-F761-4F65-AD88-95456B05272A}">
  <sheetPr codeName="Sheet25"/>
  <dimension ref="A1:FW73"/>
  <sheetViews>
    <sheetView showGridLines="0" topLeftCell="CC28" zoomScale="96" zoomScaleNormal="96" workbookViewId="0">
      <selection activeCell="CM28" sqref="CM28"/>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37" customWidth="1"/>
    <col min="7" max="7" width="15.5703125" style="337" bestFit="1" customWidth="1"/>
    <col min="8" max="8" width="17.140625" style="337" customWidth="1"/>
    <col min="9" max="9" width="16.7109375" style="337" customWidth="1"/>
    <col min="10" max="10" width="16.140625" style="337" customWidth="1"/>
    <col min="11" max="11" width="15.85546875" style="337" customWidth="1"/>
    <col min="12" max="12" width="15.5703125" style="337" customWidth="1"/>
    <col min="13" max="13" width="15.85546875" style="337" customWidth="1"/>
    <col min="14" max="16" width="16.5703125" style="337" customWidth="1"/>
    <col min="17" max="17" width="14.5703125" style="337" customWidth="1"/>
    <col min="18" max="18" width="17.28515625" style="337" customWidth="1"/>
    <col min="19" max="19" width="16.7109375" style="337" customWidth="1"/>
    <col min="20" max="20" width="16.28515625" style="337" customWidth="1"/>
    <col min="21" max="21" width="16.5703125" style="337" customWidth="1"/>
    <col min="22" max="22" width="17.85546875" style="337" customWidth="1"/>
    <col min="23" max="42" width="16.28515625" style="337" customWidth="1"/>
    <col min="43" max="43" width="15.42578125" style="337" customWidth="1"/>
    <col min="44" max="45" width="16.28515625" style="337" customWidth="1"/>
    <col min="46" max="46" width="18.7109375" style="338" bestFit="1" customWidth="1"/>
    <col min="47" max="90" width="15.85546875" style="1" bestFit="1" customWidth="1"/>
    <col min="91" max="91" width="25.85546875" style="58"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351" t="s">
        <v>301</v>
      </c>
      <c r="B1" s="351" t="s">
        <v>302</v>
      </c>
      <c r="C1" s="352" t="s">
        <v>147</v>
      </c>
      <c r="D1" s="352" t="s">
        <v>163</v>
      </c>
      <c r="E1" s="351" t="s">
        <v>303</v>
      </c>
      <c r="F1" s="353" t="s">
        <v>4</v>
      </c>
      <c r="G1" s="354">
        <v>41913</v>
      </c>
      <c r="H1" s="354">
        <v>41944</v>
      </c>
      <c r="I1" s="354">
        <v>41974</v>
      </c>
      <c r="J1" s="354">
        <v>42005</v>
      </c>
      <c r="K1" s="354">
        <v>42036</v>
      </c>
      <c r="L1" s="354">
        <v>42064</v>
      </c>
      <c r="M1" s="354">
        <v>42095</v>
      </c>
      <c r="N1" s="354">
        <v>42125</v>
      </c>
      <c r="O1" s="354">
        <v>42156</v>
      </c>
      <c r="P1" s="354">
        <v>42186</v>
      </c>
      <c r="Q1" s="354">
        <v>42217</v>
      </c>
      <c r="R1" s="354">
        <v>42248</v>
      </c>
      <c r="S1" s="354">
        <v>42278</v>
      </c>
      <c r="T1" s="354">
        <v>42309</v>
      </c>
      <c r="U1" s="354">
        <v>42339</v>
      </c>
      <c r="V1" s="354">
        <v>42370</v>
      </c>
      <c r="W1" s="354">
        <v>42401</v>
      </c>
      <c r="X1" s="354">
        <v>42430</v>
      </c>
      <c r="Y1" s="354">
        <v>42461</v>
      </c>
      <c r="Z1" s="354">
        <v>42491</v>
      </c>
      <c r="AA1" s="354">
        <v>42522</v>
      </c>
      <c r="AB1" s="354">
        <v>42552</v>
      </c>
      <c r="AC1" s="354">
        <v>42583</v>
      </c>
      <c r="AD1" s="354">
        <v>42614</v>
      </c>
      <c r="AE1" s="354">
        <v>42644</v>
      </c>
      <c r="AF1" s="354">
        <v>42675</v>
      </c>
      <c r="AG1" s="354">
        <v>42705</v>
      </c>
      <c r="AH1" s="354">
        <v>42736</v>
      </c>
      <c r="AI1" s="354">
        <v>42767</v>
      </c>
      <c r="AJ1" s="354">
        <v>42795</v>
      </c>
      <c r="AK1" s="354">
        <v>42826</v>
      </c>
      <c r="AL1" s="354">
        <v>42856</v>
      </c>
      <c r="AM1" s="354">
        <v>42887</v>
      </c>
      <c r="AN1" s="354">
        <v>42917</v>
      </c>
      <c r="AO1" s="354">
        <v>42948</v>
      </c>
      <c r="AP1" s="354">
        <v>42979</v>
      </c>
      <c r="AQ1" s="354">
        <v>43009</v>
      </c>
      <c r="AR1" s="354">
        <v>43040</v>
      </c>
      <c r="AS1" s="354">
        <v>43070</v>
      </c>
      <c r="AT1" s="354">
        <v>43101</v>
      </c>
      <c r="AU1" s="354">
        <v>43132</v>
      </c>
      <c r="AV1" s="354">
        <v>43160</v>
      </c>
      <c r="AW1" s="354">
        <v>43191</v>
      </c>
      <c r="AX1" s="354">
        <v>43221</v>
      </c>
      <c r="AY1" s="354">
        <v>43252</v>
      </c>
      <c r="AZ1" s="354">
        <v>43282</v>
      </c>
      <c r="BA1" s="354">
        <v>43313</v>
      </c>
      <c r="BB1" s="354">
        <v>43344</v>
      </c>
      <c r="BC1" s="354">
        <v>43374</v>
      </c>
      <c r="BD1" s="354">
        <v>43405</v>
      </c>
      <c r="BE1" s="354">
        <v>43435</v>
      </c>
      <c r="BF1" s="354">
        <v>43466</v>
      </c>
      <c r="BG1" s="354">
        <v>43497</v>
      </c>
      <c r="BH1" s="354">
        <v>43525</v>
      </c>
      <c r="BI1" s="354">
        <v>43556</v>
      </c>
      <c r="BJ1" s="354">
        <v>43586</v>
      </c>
      <c r="BK1" s="354">
        <v>43617</v>
      </c>
      <c r="BL1" s="354">
        <v>43647</v>
      </c>
      <c r="BM1" s="354">
        <v>43678</v>
      </c>
      <c r="BN1" s="354">
        <v>43709</v>
      </c>
      <c r="BO1" s="354">
        <v>43739</v>
      </c>
      <c r="BP1" s="354">
        <v>43770</v>
      </c>
      <c r="BQ1" s="354">
        <v>43800</v>
      </c>
      <c r="BR1" s="354">
        <v>43831</v>
      </c>
      <c r="BS1" s="354">
        <v>43862</v>
      </c>
      <c r="BT1" s="354">
        <v>43891</v>
      </c>
      <c r="BU1" s="354">
        <v>43922</v>
      </c>
      <c r="BV1" s="354">
        <v>43952</v>
      </c>
      <c r="BW1" s="354">
        <v>43983</v>
      </c>
      <c r="BX1" s="354">
        <v>44013</v>
      </c>
      <c r="BY1" s="354">
        <v>44044</v>
      </c>
      <c r="BZ1" s="354">
        <v>44075</v>
      </c>
      <c r="CA1" s="354">
        <v>44105</v>
      </c>
      <c r="CB1" s="354">
        <v>44136</v>
      </c>
      <c r="CC1" s="354">
        <v>44166</v>
      </c>
      <c r="CD1" s="354">
        <v>44197</v>
      </c>
      <c r="CE1" s="354">
        <v>44228</v>
      </c>
      <c r="CF1" s="354">
        <v>44256</v>
      </c>
      <c r="CG1" s="354">
        <v>44287</v>
      </c>
      <c r="CH1" s="354">
        <v>44317</v>
      </c>
      <c r="CI1" s="354">
        <v>44348</v>
      </c>
      <c r="CJ1" s="354">
        <v>44378</v>
      </c>
      <c r="CK1" s="354">
        <v>44409</v>
      </c>
      <c r="CL1" s="354">
        <v>44440</v>
      </c>
      <c r="CM1" s="355" t="s">
        <v>406</v>
      </c>
      <c r="CN1" s="58"/>
      <c r="CO1" s="58"/>
      <c r="CP1" s="58"/>
      <c r="CQ1" s="58"/>
      <c r="CR1" s="58"/>
      <c r="CS1" s="58"/>
      <c r="CT1" s="58"/>
      <c r="CU1" s="58"/>
      <c r="CV1" s="58"/>
      <c r="CW1" s="58"/>
      <c r="CX1" s="58"/>
      <c r="CY1" s="58"/>
      <c r="CZ1" s="58"/>
      <c r="DA1" s="58"/>
      <c r="DB1" s="58"/>
      <c r="DC1" s="58"/>
      <c r="DD1" s="58"/>
      <c r="DE1" s="58"/>
      <c r="DF1" s="58"/>
      <c r="DG1" s="58"/>
      <c r="DH1" s="58"/>
      <c r="DI1" s="58"/>
      <c r="DJ1" s="58"/>
      <c r="DK1" s="58"/>
      <c r="DL1" s="58"/>
      <c r="DM1" s="58"/>
      <c r="DN1" s="58"/>
      <c r="DO1" s="58"/>
      <c r="DP1" s="58"/>
      <c r="DQ1" s="58"/>
      <c r="DR1" s="58"/>
      <c r="DS1" s="58"/>
      <c r="DT1" s="58"/>
      <c r="DU1" s="58"/>
      <c r="DV1" s="58"/>
      <c r="DW1" s="58"/>
      <c r="DX1" s="58"/>
      <c r="DY1" s="58"/>
      <c r="DZ1" s="58"/>
      <c r="EA1" s="58"/>
      <c r="EB1" s="58"/>
      <c r="EC1" s="58"/>
      <c r="ED1" s="58"/>
      <c r="EE1" s="58"/>
      <c r="EF1" s="58"/>
      <c r="EG1" s="58"/>
      <c r="EH1" s="58"/>
      <c r="EI1" s="58"/>
      <c r="EJ1" s="58"/>
      <c r="EK1" s="58"/>
      <c r="EL1" s="58"/>
      <c r="EM1" s="58"/>
      <c r="EN1" s="58"/>
      <c r="EO1" s="58"/>
      <c r="EP1" s="58"/>
      <c r="EQ1" s="58"/>
      <c r="ER1" s="58"/>
      <c r="ES1" s="58"/>
      <c r="ET1" s="58"/>
      <c r="EU1" s="58"/>
      <c r="EV1" s="58"/>
      <c r="EW1" s="58"/>
      <c r="EX1" s="58"/>
      <c r="EY1" s="58"/>
      <c r="EZ1" s="58"/>
      <c r="FA1" s="58"/>
      <c r="FB1" s="58"/>
      <c r="FC1" s="58"/>
      <c r="FD1" s="58"/>
      <c r="FE1" s="58"/>
      <c r="FF1" s="58"/>
      <c r="FG1" s="58"/>
      <c r="FH1" s="58"/>
      <c r="FI1" s="58"/>
      <c r="FJ1" s="58"/>
      <c r="FK1" s="58"/>
      <c r="FL1" s="58"/>
      <c r="FM1" s="58"/>
      <c r="FN1" s="58"/>
      <c r="FO1" s="58"/>
      <c r="FP1" s="58"/>
      <c r="FQ1" s="58"/>
      <c r="FR1" s="58"/>
      <c r="FS1" s="58"/>
      <c r="FT1" s="58"/>
      <c r="FU1" s="58"/>
      <c r="FV1" s="58"/>
    </row>
    <row r="2" spans="1:178">
      <c r="A2" s="1057" t="s">
        <v>304</v>
      </c>
      <c r="B2" s="286" t="s">
        <v>305</v>
      </c>
      <c r="C2" s="356" t="s">
        <v>143</v>
      </c>
      <c r="D2" s="356"/>
      <c r="E2" s="357" t="s">
        <v>351</v>
      </c>
      <c r="F2" s="358" t="s">
        <v>149</v>
      </c>
      <c r="G2" s="358">
        <v>27200</v>
      </c>
      <c r="H2" s="358">
        <v>26500</v>
      </c>
      <c r="I2" s="358">
        <v>22100</v>
      </c>
      <c r="J2" s="358">
        <v>20800</v>
      </c>
      <c r="K2" s="358">
        <v>21100</v>
      </c>
      <c r="L2" s="358">
        <v>21750</v>
      </c>
      <c r="M2" s="358">
        <v>21300</v>
      </c>
      <c r="N2" s="358">
        <v>20990</v>
      </c>
      <c r="O2" s="358">
        <v>20650</v>
      </c>
      <c r="P2" s="358">
        <v>20330</v>
      </c>
      <c r="Q2" s="358">
        <v>20100</v>
      </c>
      <c r="R2" s="358">
        <v>19450</v>
      </c>
      <c r="S2" s="359">
        <v>20360</v>
      </c>
      <c r="T2" s="359">
        <v>19847</v>
      </c>
      <c r="U2" s="359">
        <v>19057</v>
      </c>
      <c r="V2" s="359">
        <v>22064</v>
      </c>
      <c r="W2" s="359">
        <v>21150</v>
      </c>
      <c r="X2" s="359">
        <v>18838</v>
      </c>
      <c r="Y2" s="359">
        <v>12077</v>
      </c>
      <c r="Z2" s="359">
        <v>13904</v>
      </c>
      <c r="AA2" s="359">
        <v>13226</v>
      </c>
      <c r="AB2" s="359">
        <v>13231</v>
      </c>
      <c r="AC2" s="359">
        <v>14922</v>
      </c>
      <c r="AD2" s="359">
        <v>14108</v>
      </c>
      <c r="AE2" s="359">
        <v>11044</v>
      </c>
      <c r="AF2" s="359">
        <v>15271</v>
      </c>
      <c r="AG2" s="359">
        <v>15211</v>
      </c>
      <c r="AH2" s="359">
        <v>17994</v>
      </c>
      <c r="AI2" s="359">
        <v>19354</v>
      </c>
      <c r="AJ2" s="359">
        <v>23522</v>
      </c>
      <c r="AK2" s="359">
        <v>24045</v>
      </c>
      <c r="AL2" s="359">
        <v>20362</v>
      </c>
      <c r="AM2" s="359">
        <v>19459</v>
      </c>
      <c r="AN2" s="359">
        <v>20413</v>
      </c>
      <c r="AO2" s="359">
        <v>15226</v>
      </c>
      <c r="AP2" s="359">
        <v>16877</v>
      </c>
      <c r="AQ2" s="359">
        <v>28834</v>
      </c>
      <c r="AR2" s="359">
        <v>29076</v>
      </c>
      <c r="AS2" s="359">
        <v>29937</v>
      </c>
      <c r="AT2" s="360">
        <v>28994.924777010401</v>
      </c>
      <c r="AU2" s="359">
        <v>29083.53795837006</v>
      </c>
      <c r="AV2" s="359">
        <v>34366.504780699324</v>
      </c>
      <c r="AW2" s="359">
        <v>33560.84076592559</v>
      </c>
      <c r="AX2" s="359">
        <v>26218.900621677058</v>
      </c>
      <c r="AY2" s="359">
        <v>35995.3751249493</v>
      </c>
      <c r="AZ2" s="359">
        <v>40427.168047868036</v>
      </c>
      <c r="BA2" s="359">
        <v>41802.471042837584</v>
      </c>
      <c r="BB2" s="359">
        <v>42113.614300327099</v>
      </c>
      <c r="BC2" s="359">
        <v>25996.232831627069</v>
      </c>
      <c r="BD2" s="359">
        <v>23233.174449043679</v>
      </c>
      <c r="BE2" s="359">
        <v>23262.637969758925</v>
      </c>
      <c r="BF2" s="359">
        <v>23907.7292329458</v>
      </c>
      <c r="BG2" s="359">
        <v>23317.963262738322</v>
      </c>
      <c r="BH2" s="359">
        <v>23383.118785073329</v>
      </c>
      <c r="BI2" s="359">
        <v>24651.246231346595</v>
      </c>
      <c r="BJ2" s="359">
        <v>24557.925586871806</v>
      </c>
      <c r="BK2" s="359">
        <v>24829.484559121953</v>
      </c>
      <c r="BL2" s="359">
        <v>25055.43026719796</v>
      </c>
      <c r="BM2" s="359">
        <v>25788.630012426867</v>
      </c>
      <c r="BN2" s="359">
        <v>24643.230588247261</v>
      </c>
      <c r="BO2" s="359">
        <v>22952.67731483098</v>
      </c>
      <c r="BP2" s="359">
        <v>22947.88884116093</v>
      </c>
      <c r="BQ2" s="359">
        <v>23317.24351414209</v>
      </c>
      <c r="BR2" s="359">
        <v>23890.571956586806</v>
      </c>
      <c r="BS2" s="359">
        <v>24228.610372014118</v>
      </c>
      <c r="BT2" s="359">
        <v>23541.978231953181</v>
      </c>
      <c r="BU2" s="359">
        <v>20644.541889138898</v>
      </c>
      <c r="BV2" s="359">
        <v>20890.304335565754</v>
      </c>
      <c r="BW2" s="359">
        <v>21374.533561952143</v>
      </c>
      <c r="BX2" s="359">
        <v>20823.815492546022</v>
      </c>
      <c r="BY2" s="359">
        <v>21262.530692823591</v>
      </c>
      <c r="BZ2" s="359">
        <v>21999.186981115297</v>
      </c>
      <c r="CA2" s="359">
        <v>19071.183854484243</v>
      </c>
      <c r="CB2" s="359">
        <v>18416.612908296738</v>
      </c>
      <c r="CC2" s="359">
        <v>19631.38584711331</v>
      </c>
      <c r="CD2" s="359">
        <v>18862.12739731725</v>
      </c>
      <c r="CE2" s="359">
        <v>19417.545218868301</v>
      </c>
      <c r="CF2" s="359">
        <v>19573.277993613043</v>
      </c>
      <c r="CG2" s="359">
        <v>19181.382115766464</v>
      </c>
      <c r="CH2" s="359">
        <v>19438.661485292767</v>
      </c>
      <c r="CI2" s="359">
        <v>19349.709140187424</v>
      </c>
      <c r="CJ2" s="359">
        <v>19586.01839165475</v>
      </c>
      <c r="CK2" s="359">
        <v>18872.315054019989</v>
      </c>
      <c r="CL2" s="358">
        <v>18949.614134508891</v>
      </c>
      <c r="CM2" s="359">
        <f t="shared" ref="CM2:CM11" si="0">AVERAGE(G2:CL2)</f>
        <v>22322.534022869251</v>
      </c>
      <c r="CN2" s="361" t="s">
        <v>164</v>
      </c>
      <c r="CO2" s="361"/>
      <c r="CP2" s="361"/>
      <c r="CQ2" s="361"/>
      <c r="CR2" s="361"/>
      <c r="CS2" s="361"/>
      <c r="CT2" s="361"/>
      <c r="CU2" s="361"/>
      <c r="CV2" s="361"/>
      <c r="CW2" s="361"/>
      <c r="CX2" s="361"/>
      <c r="CY2" s="361"/>
      <c r="CZ2" s="361"/>
      <c r="DA2" s="361"/>
      <c r="DB2" s="361"/>
      <c r="DC2" s="361"/>
      <c r="DD2" s="361"/>
      <c r="DE2" s="361"/>
      <c r="DF2" s="361"/>
      <c r="DG2" s="361"/>
      <c r="DH2" s="361"/>
      <c r="DI2" s="361"/>
      <c r="DJ2" s="361"/>
      <c r="DK2" s="361"/>
      <c r="DL2" s="361"/>
      <c r="DM2" s="361"/>
      <c r="DN2" s="361"/>
      <c r="DO2" s="361"/>
      <c r="DP2" s="361"/>
      <c r="DQ2" s="361"/>
      <c r="DR2" s="361"/>
      <c r="DS2" s="361"/>
      <c r="DT2" s="361"/>
      <c r="DU2" s="361"/>
      <c r="DV2" s="361"/>
      <c r="DW2" s="361"/>
      <c r="DX2" s="361"/>
      <c r="DY2" s="361"/>
      <c r="DZ2" s="361"/>
      <c r="EA2" s="361"/>
      <c r="EB2" s="361"/>
      <c r="EC2" s="58"/>
      <c r="ED2" s="58"/>
      <c r="EE2" s="58"/>
      <c r="EF2" s="58"/>
      <c r="EG2" s="58"/>
      <c r="EH2" s="58"/>
      <c r="EI2" s="58"/>
      <c r="EJ2" s="58"/>
      <c r="EK2" s="58"/>
      <c r="EL2" s="58"/>
      <c r="EM2" s="58"/>
      <c r="EN2" s="58"/>
      <c r="EO2" s="58"/>
      <c r="EP2" s="58"/>
      <c r="EQ2" s="58"/>
      <c r="ER2" s="58"/>
      <c r="ES2" s="58"/>
      <c r="ET2" s="58"/>
      <c r="EU2" s="58"/>
      <c r="EV2" s="58"/>
      <c r="EW2" s="58"/>
      <c r="EX2" s="58"/>
      <c r="EY2" s="58"/>
      <c r="EZ2" s="58"/>
      <c r="FA2" s="58"/>
      <c r="FB2" s="58"/>
      <c r="FC2" s="58"/>
      <c r="FD2" s="58"/>
      <c r="FE2" s="58"/>
      <c r="FF2" s="58"/>
      <c r="FG2" s="58"/>
      <c r="FH2" s="58"/>
      <c r="FI2" s="58"/>
      <c r="FJ2" s="58"/>
      <c r="FK2" s="58"/>
      <c r="FL2" s="58"/>
      <c r="FM2" s="58"/>
      <c r="FN2" s="58"/>
      <c r="FO2" s="58"/>
      <c r="FP2" s="58"/>
      <c r="FQ2" s="58"/>
      <c r="FR2" s="58"/>
      <c r="FS2" s="58"/>
      <c r="FT2" s="58"/>
      <c r="FU2" s="58"/>
      <c r="FV2" s="58"/>
    </row>
    <row r="3" spans="1:178">
      <c r="A3" s="1058"/>
      <c r="B3" s="2" t="s">
        <v>305</v>
      </c>
      <c r="C3" s="362" t="s">
        <v>143</v>
      </c>
      <c r="D3" s="362"/>
      <c r="E3" s="58" t="s">
        <v>351</v>
      </c>
      <c r="F3" s="363" t="s">
        <v>0</v>
      </c>
      <c r="G3" s="363">
        <v>40150</v>
      </c>
      <c r="H3" s="363">
        <v>39300</v>
      </c>
      <c r="I3" s="363">
        <v>34500</v>
      </c>
      <c r="J3" s="363">
        <v>33240</v>
      </c>
      <c r="K3" s="363">
        <v>32750</v>
      </c>
      <c r="L3" s="363">
        <v>33100</v>
      </c>
      <c r="M3" s="363">
        <v>32650</v>
      </c>
      <c r="N3" s="363">
        <v>32300</v>
      </c>
      <c r="O3" s="363">
        <v>30100</v>
      </c>
      <c r="P3" s="363">
        <v>29600</v>
      </c>
      <c r="Q3" s="363">
        <v>29300</v>
      </c>
      <c r="R3" s="363">
        <v>28200</v>
      </c>
      <c r="S3" s="319">
        <v>29130</v>
      </c>
      <c r="T3" s="319">
        <v>27980</v>
      </c>
      <c r="U3" s="319">
        <v>28450</v>
      </c>
      <c r="V3" s="319">
        <v>31940</v>
      </c>
      <c r="W3" s="319">
        <v>32360</v>
      </c>
      <c r="X3" s="319">
        <v>27300</v>
      </c>
      <c r="Y3" s="319">
        <v>23430</v>
      </c>
      <c r="Z3" s="319">
        <v>24600</v>
      </c>
      <c r="AA3" s="319">
        <v>24100</v>
      </c>
      <c r="AB3" s="319">
        <v>24900</v>
      </c>
      <c r="AC3" s="319">
        <v>23180</v>
      </c>
      <c r="AD3" s="319">
        <v>22750</v>
      </c>
      <c r="AE3" s="319">
        <v>21350</v>
      </c>
      <c r="AF3" s="319">
        <v>24020</v>
      </c>
      <c r="AG3" s="319">
        <v>27070</v>
      </c>
      <c r="AH3" s="319">
        <v>28500</v>
      </c>
      <c r="AI3" s="319">
        <v>30640</v>
      </c>
      <c r="AJ3" s="319">
        <v>33490</v>
      </c>
      <c r="AK3" s="319">
        <v>34890</v>
      </c>
      <c r="AL3" s="319">
        <v>32270</v>
      </c>
      <c r="AM3" s="319">
        <v>29650</v>
      </c>
      <c r="AN3" s="319">
        <v>28360</v>
      </c>
      <c r="AO3" s="319">
        <v>25780</v>
      </c>
      <c r="AP3" s="319">
        <v>28790</v>
      </c>
      <c r="AQ3" s="319">
        <v>37740</v>
      </c>
      <c r="AR3" s="319">
        <v>38910</v>
      </c>
      <c r="AS3" s="319">
        <v>39200</v>
      </c>
      <c r="AT3" s="364">
        <v>39267.739761524499</v>
      </c>
      <c r="AU3" s="319">
        <v>35320.99284552411</v>
      </c>
      <c r="AV3" s="319">
        <v>32642.643561859699</v>
      </c>
      <c r="AW3" s="319">
        <v>32591.713857151481</v>
      </c>
      <c r="AX3" s="319">
        <v>35322.25032773053</v>
      </c>
      <c r="AY3" s="319">
        <v>39703.969071957552</v>
      </c>
      <c r="AZ3" s="319">
        <v>39873.279388030664</v>
      </c>
      <c r="BA3" s="319">
        <v>42186.838343884381</v>
      </c>
      <c r="BB3" s="319">
        <v>45353.692547267237</v>
      </c>
      <c r="BC3" s="319">
        <v>50421.563709397698</v>
      </c>
      <c r="BD3" s="319">
        <v>40583.378652357023</v>
      </c>
      <c r="BE3" s="319">
        <v>32948.17063043618</v>
      </c>
      <c r="BF3" s="319">
        <v>31831.243798285665</v>
      </c>
      <c r="BG3" s="319">
        <v>32775.625890130817</v>
      </c>
      <c r="BH3" s="319">
        <v>35603.026406517805</v>
      </c>
      <c r="BI3" s="319">
        <v>37413.346401247443</v>
      </c>
      <c r="BJ3" s="319">
        <v>38313.43145419551</v>
      </c>
      <c r="BK3" s="319">
        <v>31229.255203616198</v>
      </c>
      <c r="BL3" s="319">
        <v>26987.793742556612</v>
      </c>
      <c r="BM3" s="319">
        <v>27502.94958707604</v>
      </c>
      <c r="BN3" s="319">
        <v>26129.656129075174</v>
      </c>
      <c r="BO3" s="319">
        <v>31204.144072500429</v>
      </c>
      <c r="BP3" s="319">
        <v>32130.775456387943</v>
      </c>
      <c r="BQ3" s="319">
        <v>32763.935287141259</v>
      </c>
      <c r="BR3" s="319">
        <v>42146.917092812088</v>
      </c>
      <c r="BS3" s="319">
        <v>37776.741118253449</v>
      </c>
      <c r="BT3" s="319">
        <v>33392.157412302018</v>
      </c>
      <c r="BU3" s="319">
        <v>18333.270191784217</v>
      </c>
      <c r="BV3" s="319">
        <v>26907.499996889728</v>
      </c>
      <c r="BW3" s="319">
        <v>27733.582571128205</v>
      </c>
      <c r="BX3" s="319">
        <v>28238.348704213</v>
      </c>
      <c r="BY3" s="319">
        <v>28510.385603307008</v>
      </c>
      <c r="BZ3" s="319">
        <v>28060.277302456198</v>
      </c>
      <c r="CA3" s="319">
        <v>28820.536895295158</v>
      </c>
      <c r="CB3" s="319">
        <v>33404.388819080297</v>
      </c>
      <c r="CC3" s="319">
        <v>34644.168688458158</v>
      </c>
      <c r="CD3" s="319">
        <v>42078.873462612726</v>
      </c>
      <c r="CE3" s="319">
        <v>46073.542822435593</v>
      </c>
      <c r="CF3" s="319">
        <v>47621.606524213996</v>
      </c>
      <c r="CG3" s="319">
        <v>43640.112363280605</v>
      </c>
      <c r="CH3" s="319">
        <v>37985.33224426135</v>
      </c>
      <c r="CI3" s="319">
        <v>40810.0621081149</v>
      </c>
      <c r="CJ3" s="319">
        <v>48277.341437526047</v>
      </c>
      <c r="CK3" s="319">
        <v>51157.210854820602</v>
      </c>
      <c r="CL3" s="363">
        <v>51107.125769928265</v>
      </c>
      <c r="CM3" s="319">
        <f t="shared" si="0"/>
        <v>33366.558310821732</v>
      </c>
      <c r="CN3" s="58"/>
      <c r="CO3" s="361" t="s">
        <v>165</v>
      </c>
      <c r="CP3" s="361" t="s">
        <v>166</v>
      </c>
      <c r="CQ3" s="361" t="s">
        <v>167</v>
      </c>
      <c r="CR3" s="361" t="s">
        <v>1</v>
      </c>
      <c r="CS3" s="58"/>
      <c r="CT3" s="58"/>
      <c r="CU3" s="58"/>
      <c r="CV3" s="58"/>
      <c r="CW3" s="58"/>
      <c r="DB3" s="75"/>
      <c r="DC3" s="75"/>
      <c r="DD3" s="75"/>
      <c r="DE3" s="75"/>
      <c r="DF3" s="75"/>
      <c r="DG3" s="75"/>
      <c r="DH3" s="75"/>
      <c r="DI3" s="75"/>
      <c r="DJ3" s="75"/>
      <c r="DK3" s="75"/>
      <c r="DL3" s="75"/>
      <c r="DM3" s="75"/>
      <c r="DN3" s="75"/>
      <c r="DO3" s="75"/>
      <c r="DP3" s="75"/>
      <c r="DQ3" s="75"/>
      <c r="DR3" s="75"/>
      <c r="DS3" s="75"/>
      <c r="DT3" s="75"/>
      <c r="DU3" s="75"/>
      <c r="DV3" s="75"/>
      <c r="DW3" s="75"/>
      <c r="DX3" s="75"/>
      <c r="DY3" s="75"/>
      <c r="DZ3" s="75"/>
      <c r="EA3" s="75"/>
      <c r="EB3" s="75"/>
      <c r="EC3" s="58"/>
      <c r="ED3" s="58"/>
      <c r="EE3" s="58"/>
      <c r="EF3" s="58"/>
      <c r="EG3" s="58"/>
      <c r="EH3" s="58"/>
      <c r="EI3" s="58"/>
      <c r="EJ3" s="58"/>
      <c r="EK3" s="58"/>
      <c r="EL3" s="58"/>
      <c r="EM3" s="58"/>
      <c r="EN3" s="58"/>
      <c r="EO3" s="58"/>
      <c r="EP3" s="58"/>
      <c r="EQ3" s="58"/>
      <c r="ER3" s="58"/>
      <c r="ES3" s="58"/>
      <c r="ET3" s="58"/>
      <c r="EU3" s="58"/>
      <c r="EV3" s="58"/>
      <c r="EW3" s="58"/>
      <c r="EX3" s="58"/>
      <c r="EY3" s="58"/>
      <c r="EZ3" s="58"/>
      <c r="FA3" s="58"/>
      <c r="FB3" s="58"/>
      <c r="FC3" s="58"/>
      <c r="FD3" s="58"/>
      <c r="FE3" s="58"/>
      <c r="FF3" s="58"/>
      <c r="FG3" s="58"/>
      <c r="FH3" s="58"/>
      <c r="FI3" s="58"/>
      <c r="FJ3" s="58"/>
      <c r="FK3" s="58"/>
      <c r="FL3" s="58"/>
      <c r="FM3" s="58"/>
      <c r="FN3" s="58"/>
      <c r="FO3" s="58"/>
      <c r="FP3" s="58"/>
      <c r="FQ3" s="58"/>
      <c r="FR3" s="58"/>
      <c r="FS3" s="58"/>
      <c r="FT3" s="58"/>
      <c r="FU3" s="58"/>
      <c r="FV3" s="58"/>
    </row>
    <row r="4" spans="1:178">
      <c r="A4" s="1058"/>
      <c r="B4" s="2" t="s">
        <v>305</v>
      </c>
      <c r="C4" s="362" t="s">
        <v>143</v>
      </c>
      <c r="D4" s="362"/>
      <c r="E4" s="58" t="s">
        <v>351</v>
      </c>
      <c r="F4" s="363" t="s">
        <v>306</v>
      </c>
      <c r="G4" s="363">
        <v>36200</v>
      </c>
      <c r="H4" s="363">
        <v>34500</v>
      </c>
      <c r="I4" s="363">
        <v>31500</v>
      </c>
      <c r="J4" s="363">
        <v>30200</v>
      </c>
      <c r="K4" s="363">
        <v>29900</v>
      </c>
      <c r="L4" s="363">
        <v>30600</v>
      </c>
      <c r="M4" s="363">
        <v>29500</v>
      </c>
      <c r="N4" s="363">
        <v>29100</v>
      </c>
      <c r="O4" s="363">
        <v>28900</v>
      </c>
      <c r="P4" s="363">
        <v>28700</v>
      </c>
      <c r="Q4" s="363">
        <v>28520</v>
      </c>
      <c r="R4" s="363">
        <v>27450</v>
      </c>
      <c r="S4" s="319">
        <v>28747</v>
      </c>
      <c r="T4" s="319">
        <v>26363</v>
      </c>
      <c r="U4" s="319">
        <v>28314</v>
      </c>
      <c r="V4" s="319">
        <v>30904</v>
      </c>
      <c r="W4" s="319">
        <v>32179</v>
      </c>
      <c r="X4" s="319">
        <v>25459</v>
      </c>
      <c r="Y4" s="319">
        <v>22444</v>
      </c>
      <c r="Z4" s="319">
        <v>22701</v>
      </c>
      <c r="AA4" s="319">
        <v>23254</v>
      </c>
      <c r="AB4" s="319">
        <v>24690</v>
      </c>
      <c r="AC4" s="319">
        <v>21943</v>
      </c>
      <c r="AD4" s="319">
        <v>21072</v>
      </c>
      <c r="AE4" s="319">
        <v>20684</v>
      </c>
      <c r="AF4" s="319">
        <v>22360</v>
      </c>
      <c r="AG4" s="319">
        <v>26129</v>
      </c>
      <c r="AH4" s="319">
        <v>28230</v>
      </c>
      <c r="AI4" s="319">
        <v>29816</v>
      </c>
      <c r="AJ4" s="319">
        <v>32258</v>
      </c>
      <c r="AK4" s="319">
        <v>33673</v>
      </c>
      <c r="AL4" s="319">
        <v>31199</v>
      </c>
      <c r="AM4" s="319">
        <v>28636</v>
      </c>
      <c r="AN4" s="319">
        <v>28048</v>
      </c>
      <c r="AO4" s="319">
        <v>25686</v>
      </c>
      <c r="AP4" s="319">
        <v>28291</v>
      </c>
      <c r="AQ4" s="319">
        <v>36800</v>
      </c>
      <c r="AR4" s="319">
        <v>37009</v>
      </c>
      <c r="AS4" s="319">
        <v>39032</v>
      </c>
      <c r="AT4" s="364">
        <v>37934.865946679616</v>
      </c>
      <c r="AU4" s="319">
        <v>33977.640442957862</v>
      </c>
      <c r="AV4" s="319">
        <v>31621.932879798373</v>
      </c>
      <c r="AW4" s="319">
        <v>32245.619069523007</v>
      </c>
      <c r="AX4" s="319">
        <v>35684.70245863789</v>
      </c>
      <c r="AY4" s="319">
        <v>39729.847125147098</v>
      </c>
      <c r="AZ4" s="319">
        <v>40952.16644234657</v>
      </c>
      <c r="BA4" s="319">
        <v>43265.008516764698</v>
      </c>
      <c r="BB4" s="319">
        <v>47988.175639430039</v>
      </c>
      <c r="BC4" s="319">
        <v>50433.177687914897</v>
      </c>
      <c r="BD4" s="319">
        <v>39526.941750297483</v>
      </c>
      <c r="BE4" s="319">
        <v>30706.727022092222</v>
      </c>
      <c r="BF4" s="319">
        <v>31116.496307792124</v>
      </c>
      <c r="BG4" s="319">
        <v>35009.966798561858</v>
      </c>
      <c r="BH4" s="319">
        <v>37788.034281404027</v>
      </c>
      <c r="BI4" s="319">
        <v>38867.056236388496</v>
      </c>
      <c r="BJ4" s="319">
        <v>38678.266268318395</v>
      </c>
      <c r="BK4" s="319">
        <v>30138.909034848981</v>
      </c>
      <c r="BL4" s="319">
        <v>25548.609383721534</v>
      </c>
      <c r="BM4" s="319">
        <v>26760.845915432019</v>
      </c>
      <c r="BN4" s="319">
        <v>26872.996097798805</v>
      </c>
      <c r="BO4" s="319">
        <v>32318.693176917925</v>
      </c>
      <c r="BP4" s="319">
        <v>33253.389942674119</v>
      </c>
      <c r="BQ4" s="319">
        <v>33880.879188109247</v>
      </c>
      <c r="BR4" s="319">
        <v>44015.264630194491</v>
      </c>
      <c r="BS4" s="319">
        <v>40776.774414982094</v>
      </c>
      <c r="BT4" s="319">
        <v>37265.269327664537</v>
      </c>
      <c r="BU4" s="319">
        <v>19125.668604651164</v>
      </c>
      <c r="BV4" s="319">
        <v>26903.941500000001</v>
      </c>
      <c r="BW4" s="319">
        <v>26159.661614028053</v>
      </c>
      <c r="BX4" s="319">
        <v>26674.737698603414</v>
      </c>
      <c r="BY4" s="319">
        <v>26951.072804257299</v>
      </c>
      <c r="BZ4" s="319">
        <v>27292.749632570878</v>
      </c>
      <c r="CA4" s="319">
        <v>29207.059319259082</v>
      </c>
      <c r="CB4" s="319">
        <v>34185.03825123742</v>
      </c>
      <c r="CC4" s="319">
        <v>35409.408776058146</v>
      </c>
      <c r="CD4" s="319">
        <v>40548.590675430503</v>
      </c>
      <c r="CE4" s="319">
        <v>44551.491526971819</v>
      </c>
      <c r="CF4" s="319">
        <v>45328.551547510528</v>
      </c>
      <c r="CG4" s="319">
        <v>41304.84915769448</v>
      </c>
      <c r="CH4" s="319">
        <v>36449.953636561011</v>
      </c>
      <c r="CI4" s="319">
        <v>40423.343654069329</v>
      </c>
      <c r="CJ4" s="319">
        <v>48277.23010084885</v>
      </c>
      <c r="CK4" s="319">
        <v>50779.51102849115</v>
      </c>
      <c r="CL4" s="363">
        <v>51112.515377978409</v>
      </c>
      <c r="CM4" s="319">
        <f t="shared" si="0"/>
        <v>32714.697986816904</v>
      </c>
      <c r="CN4" s="75" t="s">
        <v>168</v>
      </c>
      <c r="CO4" s="365">
        <v>0.98795180722891562</v>
      </c>
      <c r="CP4" s="365">
        <v>0.65714285714285725</v>
      </c>
      <c r="CQ4" s="365">
        <v>0.57894736842105254</v>
      </c>
      <c r="CR4" s="365">
        <v>0.57894736842105254</v>
      </c>
      <c r="CS4" s="75"/>
      <c r="CT4" s="75"/>
      <c r="CU4" s="75"/>
      <c r="CV4" s="75"/>
      <c r="CW4" s="75"/>
      <c r="DB4" s="75"/>
      <c r="DC4" s="75"/>
      <c r="DD4" s="75"/>
      <c r="DE4" s="75"/>
      <c r="DF4" s="75"/>
      <c r="DG4" s="75"/>
      <c r="DH4" s="75"/>
      <c r="DI4" s="75"/>
      <c r="DJ4" s="75"/>
      <c r="DK4" s="75"/>
      <c r="DL4" s="75"/>
      <c r="DM4" s="75"/>
      <c r="DN4" s="75"/>
      <c r="DO4" s="75"/>
      <c r="DP4" s="75"/>
      <c r="DQ4" s="75"/>
      <c r="DR4" s="75"/>
      <c r="DS4" s="75"/>
      <c r="DT4" s="75"/>
      <c r="DU4" s="75"/>
      <c r="DV4" s="75"/>
      <c r="DW4" s="75"/>
      <c r="DX4" s="75"/>
      <c r="DY4" s="75"/>
      <c r="DZ4" s="75"/>
      <c r="EA4" s="75"/>
      <c r="EB4" s="75"/>
      <c r="EC4" s="58"/>
      <c r="ED4" s="58"/>
      <c r="EE4" s="58"/>
      <c r="EF4" s="58"/>
      <c r="EG4" s="58"/>
      <c r="EH4" s="58"/>
      <c r="EI4" s="58"/>
      <c r="EJ4" s="58"/>
      <c r="EK4" s="58"/>
      <c r="EL4" s="58"/>
      <c r="EM4" s="58"/>
      <c r="EN4" s="58"/>
      <c r="EO4" s="58"/>
      <c r="EP4" s="58"/>
      <c r="EQ4" s="58"/>
      <c r="ER4" s="58"/>
      <c r="ES4" s="58"/>
      <c r="ET4" s="58"/>
      <c r="EU4" s="58"/>
      <c r="EV4" s="58"/>
      <c r="EW4" s="58"/>
      <c r="EX4" s="58"/>
      <c r="EY4" s="58"/>
      <c r="EZ4" s="58"/>
      <c r="FA4" s="58"/>
      <c r="FB4" s="58"/>
      <c r="FC4" s="58"/>
      <c r="FD4" s="58"/>
      <c r="FE4" s="58"/>
      <c r="FF4" s="58"/>
      <c r="FG4" s="58"/>
      <c r="FH4" s="58"/>
      <c r="FI4" s="58"/>
      <c r="FJ4" s="58"/>
      <c r="FK4" s="58"/>
      <c r="FL4" s="58"/>
      <c r="FM4" s="58"/>
      <c r="FN4" s="58"/>
      <c r="FO4" s="58"/>
      <c r="FP4" s="58"/>
      <c r="FQ4" s="58"/>
      <c r="FR4" s="58"/>
      <c r="FS4" s="58"/>
      <c r="FT4" s="58"/>
      <c r="FU4" s="58"/>
      <c r="FV4" s="58"/>
    </row>
    <row r="5" spans="1:178">
      <c r="A5" s="1058"/>
      <c r="B5" s="2" t="s">
        <v>305</v>
      </c>
      <c r="C5" s="362" t="s">
        <v>143</v>
      </c>
      <c r="D5" s="362"/>
      <c r="E5" s="58" t="s">
        <v>351</v>
      </c>
      <c r="F5" s="363" t="s">
        <v>1</v>
      </c>
      <c r="G5" s="363">
        <v>36300</v>
      </c>
      <c r="H5" s="363">
        <v>36700</v>
      </c>
      <c r="I5" s="363">
        <v>34100</v>
      </c>
      <c r="J5" s="363">
        <v>33500</v>
      </c>
      <c r="K5" s="363">
        <v>33200</v>
      </c>
      <c r="L5" s="363">
        <v>34250</v>
      </c>
      <c r="M5" s="363">
        <v>33910</v>
      </c>
      <c r="N5" s="363">
        <v>33560</v>
      </c>
      <c r="O5" s="363">
        <v>33150</v>
      </c>
      <c r="P5" s="363">
        <v>32700</v>
      </c>
      <c r="Q5" s="363">
        <v>32500</v>
      </c>
      <c r="R5" s="363">
        <v>31300</v>
      </c>
      <c r="S5" s="319">
        <v>31650</v>
      </c>
      <c r="T5" s="319">
        <v>32800</v>
      </c>
      <c r="U5" s="319">
        <v>26340</v>
      </c>
      <c r="V5" s="319">
        <v>28480</v>
      </c>
      <c r="W5" s="319">
        <v>20020</v>
      </c>
      <c r="X5" s="319">
        <v>25660</v>
      </c>
      <c r="Y5" s="319">
        <v>28320</v>
      </c>
      <c r="Z5" s="319">
        <v>30450</v>
      </c>
      <c r="AA5" s="319">
        <v>29180</v>
      </c>
      <c r="AB5" s="319">
        <v>31960</v>
      </c>
      <c r="AC5" s="319">
        <v>26540</v>
      </c>
      <c r="AD5" s="319">
        <v>27640</v>
      </c>
      <c r="AE5" s="319">
        <v>23620</v>
      </c>
      <c r="AF5" s="319">
        <v>28960</v>
      </c>
      <c r="AG5" s="319">
        <v>29300</v>
      </c>
      <c r="AH5" s="319">
        <v>38070</v>
      </c>
      <c r="AI5" s="319">
        <v>37660</v>
      </c>
      <c r="AJ5" s="319">
        <v>35300</v>
      </c>
      <c r="AK5" s="319">
        <v>36270</v>
      </c>
      <c r="AL5" s="319">
        <v>31820</v>
      </c>
      <c r="AM5" s="319">
        <v>30160</v>
      </c>
      <c r="AN5" s="319">
        <v>30620</v>
      </c>
      <c r="AO5" s="319">
        <v>32030</v>
      </c>
      <c r="AP5" s="319">
        <v>26430</v>
      </c>
      <c r="AQ5" s="319">
        <v>40470</v>
      </c>
      <c r="AR5" s="319">
        <v>37160</v>
      </c>
      <c r="AS5" s="319">
        <v>35280</v>
      </c>
      <c r="AT5" s="364">
        <v>37468.917824886834</v>
      </c>
      <c r="AU5" s="319">
        <v>34979.7952647251</v>
      </c>
      <c r="AV5" s="319">
        <v>36995.226789598193</v>
      </c>
      <c r="AW5" s="319">
        <v>38411.434700802383</v>
      </c>
      <c r="AX5" s="319">
        <v>43077.696672195132</v>
      </c>
      <c r="AY5" s="319">
        <v>42339.113972658684</v>
      </c>
      <c r="AZ5" s="319">
        <v>44176.800315880733</v>
      </c>
      <c r="BA5" s="319">
        <v>45449.873001355765</v>
      </c>
      <c r="BB5" s="319">
        <v>48374.835244225556</v>
      </c>
      <c r="BC5" s="319">
        <v>49736.488507928807</v>
      </c>
      <c r="BD5" s="319">
        <v>36558.702058330193</v>
      </c>
      <c r="BE5" s="319">
        <v>31387.522192377604</v>
      </c>
      <c r="BF5" s="319">
        <v>31954.700264411553</v>
      </c>
      <c r="BG5" s="319">
        <v>35488.590056570771</v>
      </c>
      <c r="BH5" s="319">
        <v>37151.720463657031</v>
      </c>
      <c r="BI5" s="319">
        <v>40224.487971509581</v>
      </c>
      <c r="BJ5" s="319">
        <v>39776.808056372938</v>
      </c>
      <c r="BK5" s="319">
        <v>32806.091323106572</v>
      </c>
      <c r="BL5" s="319">
        <v>34852.034397102398</v>
      </c>
      <c r="BM5" s="319">
        <v>32743.412011815777</v>
      </c>
      <c r="BN5" s="319">
        <v>33941.49447086802</v>
      </c>
      <c r="BO5" s="319">
        <v>36161.070807658274</v>
      </c>
      <c r="BP5" s="319">
        <v>36208.29768815585</v>
      </c>
      <c r="BQ5" s="319">
        <v>39212.402929615775</v>
      </c>
      <c r="BR5" s="319">
        <v>38005.50999905145</v>
      </c>
      <c r="BS5" s="319">
        <v>33948.919195272174</v>
      </c>
      <c r="BT5" s="319">
        <v>21830.230520384102</v>
      </c>
      <c r="BU5" s="319">
        <v>41618.000025444984</v>
      </c>
      <c r="BV5" s="319">
        <v>36293.110003071568</v>
      </c>
      <c r="BW5" s="319">
        <v>40230.560009202418</v>
      </c>
      <c r="BX5" s="319">
        <v>28984.506728422391</v>
      </c>
      <c r="BY5" s="319">
        <v>29296.224637839514</v>
      </c>
      <c r="BZ5" s="319">
        <v>28071.268352741423</v>
      </c>
      <c r="CA5" s="319">
        <v>23219.340304109319</v>
      </c>
      <c r="CB5" s="319">
        <v>27680.138169883663</v>
      </c>
      <c r="CC5" s="319">
        <v>31896.526510107997</v>
      </c>
      <c r="CD5" s="319">
        <v>36352.617012931434</v>
      </c>
      <c r="CE5" s="319">
        <v>40134.773482798308</v>
      </c>
      <c r="CF5" s="319">
        <v>42943.647213612938</v>
      </c>
      <c r="CG5" s="319">
        <v>41061.486307385807</v>
      </c>
      <c r="CH5" s="319">
        <v>43266.069260132143</v>
      </c>
      <c r="CI5" s="319">
        <v>46764.427300723</v>
      </c>
      <c r="CJ5" s="319">
        <v>49848.163616800543</v>
      </c>
      <c r="CK5" s="319">
        <v>47958.871071535585</v>
      </c>
      <c r="CL5" s="363">
        <v>49198.016422217115</v>
      </c>
      <c r="CM5" s="319">
        <f t="shared" si="0"/>
        <v>34945.713370589001</v>
      </c>
      <c r="CN5" s="75" t="s">
        <v>169</v>
      </c>
      <c r="CO5" s="365">
        <v>1.2048192771084376E-2</v>
      </c>
      <c r="CP5" s="365">
        <v>0.34285714285714275</v>
      </c>
      <c r="CQ5" s="365">
        <v>0.42105263157894746</v>
      </c>
      <c r="CR5" s="365">
        <v>0.42105263157894746</v>
      </c>
      <c r="CS5" s="75"/>
      <c r="CT5" s="75"/>
      <c r="CU5" s="75"/>
      <c r="CV5" s="75"/>
      <c r="CW5" s="75"/>
      <c r="DB5" s="75"/>
      <c r="DC5" s="75"/>
      <c r="DD5" s="75"/>
      <c r="DE5" s="75"/>
      <c r="DF5" s="75"/>
      <c r="DG5" s="75"/>
      <c r="DH5" s="75"/>
      <c r="DI5" s="75"/>
      <c r="DJ5" s="75"/>
      <c r="DK5" s="75"/>
      <c r="DL5" s="75"/>
      <c r="DM5" s="75"/>
      <c r="DN5" s="75"/>
      <c r="DO5" s="75"/>
      <c r="DP5" s="75"/>
      <c r="DQ5" s="75"/>
      <c r="DR5" s="75"/>
      <c r="DS5" s="75"/>
      <c r="DT5" s="75"/>
      <c r="DU5" s="75"/>
      <c r="DV5" s="75"/>
      <c r="DW5" s="75"/>
      <c r="DX5" s="75"/>
      <c r="DY5" s="75"/>
      <c r="DZ5" s="75"/>
      <c r="EA5" s="75"/>
      <c r="EB5" s="75"/>
      <c r="EC5" s="366">
        <v>52.32</v>
      </c>
      <c r="ED5" s="75"/>
      <c r="EE5" s="75"/>
      <c r="EF5" s="75"/>
      <c r="EG5" s="58"/>
      <c r="EH5" s="58"/>
      <c r="EI5" s="58"/>
      <c r="EJ5" s="58"/>
      <c r="EK5" s="58"/>
      <c r="EL5" s="58"/>
      <c r="EM5" s="58"/>
      <c r="EN5" s="58"/>
      <c r="EO5" s="58"/>
      <c r="EP5" s="58"/>
      <c r="EQ5" s="58"/>
      <c r="ER5" s="58"/>
      <c r="ES5" s="58"/>
      <c r="ET5" s="58"/>
      <c r="EU5" s="58"/>
      <c r="EV5" s="58"/>
      <c r="EW5" s="58"/>
      <c r="EX5" s="58"/>
      <c r="EY5" s="58"/>
      <c r="EZ5" s="58"/>
      <c r="FA5" s="58"/>
      <c r="FB5" s="58"/>
      <c r="FC5" s="58"/>
      <c r="FD5" s="58"/>
      <c r="FE5" s="58"/>
      <c r="FF5" s="58"/>
      <c r="FG5" s="58"/>
      <c r="FH5" s="58"/>
      <c r="FI5" s="58"/>
      <c r="FJ5" s="58"/>
      <c r="FK5" s="58"/>
      <c r="FL5" s="58"/>
      <c r="FM5" s="58"/>
      <c r="FN5" s="58"/>
      <c r="FO5" s="58"/>
      <c r="FP5" s="58"/>
      <c r="FQ5" s="58"/>
      <c r="FR5" s="58"/>
      <c r="FS5" s="58"/>
      <c r="FT5" s="58"/>
      <c r="FU5" s="58"/>
      <c r="FV5" s="58"/>
    </row>
    <row r="6" spans="1:178">
      <c r="A6" s="1059"/>
      <c r="B6" s="224" t="s">
        <v>307</v>
      </c>
      <c r="C6" s="367" t="s">
        <v>308</v>
      </c>
      <c r="D6" s="367"/>
      <c r="E6" s="236" t="s">
        <v>351</v>
      </c>
      <c r="F6" s="368" t="s">
        <v>309</v>
      </c>
      <c r="G6" s="368">
        <v>690</v>
      </c>
      <c r="H6" s="368">
        <v>680</v>
      </c>
      <c r="I6" s="368">
        <v>640</v>
      </c>
      <c r="J6" s="368">
        <v>620</v>
      </c>
      <c r="K6" s="368">
        <v>595</v>
      </c>
      <c r="L6" s="368">
        <v>614</v>
      </c>
      <c r="M6" s="368">
        <v>602</v>
      </c>
      <c r="N6" s="368">
        <v>591</v>
      </c>
      <c r="O6" s="368">
        <v>582</v>
      </c>
      <c r="P6" s="368">
        <v>564</v>
      </c>
      <c r="Q6" s="368">
        <v>577</v>
      </c>
      <c r="R6" s="368">
        <v>544</v>
      </c>
      <c r="S6" s="319">
        <v>549</v>
      </c>
      <c r="T6" s="369">
        <v>562</v>
      </c>
      <c r="U6" s="369">
        <v>575</v>
      </c>
      <c r="V6" s="319">
        <v>588</v>
      </c>
      <c r="W6" s="369">
        <v>600</v>
      </c>
      <c r="X6" s="369">
        <v>614</v>
      </c>
      <c r="Y6" s="369">
        <v>628</v>
      </c>
      <c r="Z6" s="369">
        <v>638</v>
      </c>
      <c r="AA6" s="369">
        <v>651</v>
      </c>
      <c r="AB6" s="369">
        <v>664</v>
      </c>
      <c r="AC6" s="369">
        <v>677</v>
      </c>
      <c r="AD6" s="319">
        <v>689</v>
      </c>
      <c r="AE6" s="369">
        <v>602</v>
      </c>
      <c r="AF6" s="369">
        <v>615</v>
      </c>
      <c r="AG6" s="369">
        <v>628</v>
      </c>
      <c r="AH6" s="319">
        <v>640</v>
      </c>
      <c r="AI6" s="369">
        <v>654</v>
      </c>
      <c r="AJ6" s="369">
        <v>644</v>
      </c>
      <c r="AK6" s="369">
        <v>679</v>
      </c>
      <c r="AL6" s="369">
        <v>691</v>
      </c>
      <c r="AM6" s="369">
        <v>704</v>
      </c>
      <c r="AN6" s="369">
        <v>717</v>
      </c>
      <c r="AO6" s="369">
        <v>629.54360858123698</v>
      </c>
      <c r="AP6" s="369">
        <v>642.28255936563301</v>
      </c>
      <c r="AQ6" s="369">
        <v>655.02151015003005</v>
      </c>
      <c r="AR6" s="369">
        <v>667.76046093442596</v>
      </c>
      <c r="AS6" s="369">
        <v>680.49941171882301</v>
      </c>
      <c r="AT6" s="369">
        <v>693.23836250321904</v>
      </c>
      <c r="AU6" s="369">
        <v>725</v>
      </c>
      <c r="AV6" s="369">
        <v>731</v>
      </c>
      <c r="AW6" s="369">
        <v>683.35192411641094</v>
      </c>
      <c r="AX6" s="369">
        <v>727.45879248730159</v>
      </c>
      <c r="AY6" s="369">
        <v>790.46535767833188</v>
      </c>
      <c r="AZ6" s="369">
        <v>835.82228336641663</v>
      </c>
      <c r="BA6" s="369">
        <v>855.64779771974872</v>
      </c>
      <c r="BB6" s="369">
        <v>831.01152604586082</v>
      </c>
      <c r="BC6" s="369">
        <v>894.32305357357711</v>
      </c>
      <c r="BD6" s="369">
        <v>848.00352710543211</v>
      </c>
      <c r="BE6" s="369">
        <v>762.53950609685091</v>
      </c>
      <c r="BF6" s="369">
        <v>747.97322905859232</v>
      </c>
      <c r="BG6" s="369">
        <v>816.24945468112071</v>
      </c>
      <c r="BH6" s="369">
        <v>713.84568622483982</v>
      </c>
      <c r="BI6" s="369">
        <v>547.77</v>
      </c>
      <c r="BJ6" s="369">
        <v>505.25</v>
      </c>
      <c r="BK6" s="369">
        <v>522.21</v>
      </c>
      <c r="BL6" s="369">
        <v>559.08000000000004</v>
      </c>
      <c r="BM6" s="369">
        <v>496.47</v>
      </c>
      <c r="BN6" s="369">
        <v>463.19</v>
      </c>
      <c r="BO6" s="369">
        <v>620.35</v>
      </c>
      <c r="BP6" s="369">
        <v>540.62</v>
      </c>
      <c r="BQ6" s="369">
        <v>605.28</v>
      </c>
      <c r="BR6" s="369">
        <v>485.79</v>
      </c>
      <c r="BS6" s="369">
        <v>478.65</v>
      </c>
      <c r="BT6" s="369">
        <v>313.06</v>
      </c>
      <c r="BU6" s="369">
        <v>546.95000000000005</v>
      </c>
      <c r="BV6" s="369">
        <v>498.46</v>
      </c>
      <c r="BW6" s="369">
        <v>285.66000000000003</v>
      </c>
      <c r="BX6" s="369">
        <v>264.85000000000002</v>
      </c>
      <c r="BY6" s="369">
        <v>334.58</v>
      </c>
      <c r="BZ6" s="369">
        <v>410.09</v>
      </c>
      <c r="CA6" s="369">
        <v>471.71</v>
      </c>
      <c r="CB6" s="369">
        <v>532.29999999999995</v>
      </c>
      <c r="CC6" s="369">
        <v>588.39</v>
      </c>
      <c r="CD6" s="369">
        <v>675.69</v>
      </c>
      <c r="CE6" s="369">
        <v>872.05</v>
      </c>
      <c r="CF6" s="369">
        <v>766.06</v>
      </c>
      <c r="CG6" s="369">
        <v>565.04999999999995</v>
      </c>
      <c r="CH6" s="369">
        <v>567.25</v>
      </c>
      <c r="CI6" s="369">
        <v>619.33000000000004</v>
      </c>
      <c r="CJ6" s="369">
        <v>708.17</v>
      </c>
      <c r="CK6" s="369">
        <v>868.98</v>
      </c>
      <c r="CL6" s="370">
        <v>938.53</v>
      </c>
      <c r="CM6" s="319">
        <f t="shared" si="0"/>
        <v>629.65307204056967</v>
      </c>
      <c r="CN6" s="58"/>
      <c r="CO6" s="58"/>
      <c r="CP6" s="58"/>
      <c r="CQ6" s="58"/>
      <c r="CR6" s="58"/>
      <c r="CS6" s="58"/>
      <c r="CT6" s="58"/>
      <c r="CU6" s="58"/>
      <c r="CV6" s="58"/>
      <c r="CW6" s="58"/>
      <c r="CX6" s="58"/>
      <c r="CY6" s="58"/>
      <c r="CZ6" s="58"/>
      <c r="DA6" s="58"/>
      <c r="DB6" s="58"/>
      <c r="DC6" s="58"/>
      <c r="DD6" s="58"/>
      <c r="DE6" s="58"/>
      <c r="DF6" s="58"/>
      <c r="DG6" s="58"/>
      <c r="DH6" s="58"/>
      <c r="DI6" s="58"/>
      <c r="DJ6" s="58"/>
      <c r="DK6" s="58"/>
      <c r="DL6" s="58"/>
      <c r="DM6" s="58"/>
      <c r="DN6" s="58"/>
      <c r="DO6" s="58"/>
      <c r="DP6" s="58"/>
      <c r="DQ6" s="58"/>
      <c r="DR6" s="58"/>
      <c r="DS6" s="58"/>
      <c r="DT6" s="58"/>
      <c r="DU6" s="58"/>
      <c r="DV6" s="58"/>
      <c r="DW6" s="58"/>
      <c r="DX6" s="58"/>
      <c r="DY6" s="58"/>
      <c r="DZ6" s="58"/>
      <c r="EA6" s="58"/>
      <c r="EB6" s="58"/>
      <c r="EC6" s="58"/>
      <c r="ED6" s="58"/>
      <c r="EE6" s="58"/>
      <c r="EF6" s="58"/>
      <c r="EG6" s="58"/>
      <c r="EH6" s="58"/>
      <c r="EI6" s="58"/>
      <c r="EJ6" s="58"/>
      <c r="EK6" s="58"/>
      <c r="EL6" s="58"/>
      <c r="EM6" s="58"/>
      <c r="EN6" s="58"/>
      <c r="EO6" s="58"/>
      <c r="EP6" s="58"/>
      <c r="EQ6" s="58"/>
      <c r="ER6" s="58"/>
      <c r="ES6" s="58"/>
      <c r="ET6" s="58"/>
      <c r="EU6" s="58"/>
      <c r="EV6" s="58"/>
      <c r="EW6" s="58"/>
      <c r="EX6" s="58"/>
      <c r="EY6" s="58"/>
      <c r="EZ6" s="58"/>
      <c r="FA6" s="58"/>
      <c r="FB6" s="58"/>
      <c r="FC6" s="58"/>
      <c r="FD6" s="58"/>
      <c r="FE6" s="58"/>
      <c r="FF6" s="58"/>
      <c r="FG6" s="58"/>
      <c r="FH6" s="58"/>
      <c r="FI6" s="58"/>
      <c r="FJ6" s="58"/>
      <c r="FK6" s="58"/>
      <c r="FL6" s="58"/>
      <c r="FM6" s="58"/>
      <c r="FN6" s="58"/>
      <c r="FO6" s="58"/>
      <c r="FP6" s="58"/>
      <c r="FQ6" s="58"/>
      <c r="FR6" s="58"/>
      <c r="FS6" s="58"/>
      <c r="FT6" s="58"/>
      <c r="FU6" s="58"/>
      <c r="FV6" s="58"/>
    </row>
    <row r="7" spans="1:178">
      <c r="A7" s="1060" t="s">
        <v>310</v>
      </c>
      <c r="B7" s="286" t="s">
        <v>307</v>
      </c>
      <c r="C7" s="356" t="s">
        <v>143</v>
      </c>
      <c r="D7" s="356"/>
      <c r="E7" s="371" t="s">
        <v>351</v>
      </c>
      <c r="F7" s="372" t="s">
        <v>138</v>
      </c>
      <c r="G7" s="373">
        <v>56500</v>
      </c>
      <c r="H7" s="373">
        <v>56300</v>
      </c>
      <c r="I7" s="373">
        <v>56100</v>
      </c>
      <c r="J7" s="373">
        <v>55900</v>
      </c>
      <c r="K7" s="373">
        <v>55800</v>
      </c>
      <c r="L7" s="373">
        <v>55600</v>
      </c>
      <c r="M7" s="373">
        <v>55200</v>
      </c>
      <c r="N7" s="373">
        <v>57300</v>
      </c>
      <c r="O7" s="373">
        <v>54100</v>
      </c>
      <c r="P7" s="372">
        <v>55200</v>
      </c>
      <c r="Q7" s="372">
        <v>52300</v>
      </c>
      <c r="R7" s="374">
        <v>45600</v>
      </c>
      <c r="S7" s="373">
        <v>47020</v>
      </c>
      <c r="T7" s="374">
        <v>45750</v>
      </c>
      <c r="U7" s="375">
        <v>46150</v>
      </c>
      <c r="V7" s="373">
        <v>45650</v>
      </c>
      <c r="W7" s="374">
        <v>36940</v>
      </c>
      <c r="X7" s="373">
        <v>36950</v>
      </c>
      <c r="Y7" s="376">
        <v>37390</v>
      </c>
      <c r="Z7" s="373">
        <v>37950</v>
      </c>
      <c r="AA7" s="373">
        <v>38680</v>
      </c>
      <c r="AB7" s="376">
        <v>39250</v>
      </c>
      <c r="AC7" s="375">
        <v>39610</v>
      </c>
      <c r="AD7" s="373">
        <v>39920</v>
      </c>
      <c r="AE7" s="376">
        <v>39990</v>
      </c>
      <c r="AF7" s="373">
        <v>40250</v>
      </c>
      <c r="AG7" s="375">
        <v>41270</v>
      </c>
      <c r="AH7" s="373">
        <v>42350</v>
      </c>
      <c r="AI7" s="374">
        <v>57680</v>
      </c>
      <c r="AJ7" s="373">
        <v>60070</v>
      </c>
      <c r="AK7" s="373">
        <v>58600</v>
      </c>
      <c r="AL7" s="373">
        <v>56250</v>
      </c>
      <c r="AM7" s="373">
        <v>54760</v>
      </c>
      <c r="AN7" s="373">
        <v>53400</v>
      </c>
      <c r="AO7" s="373">
        <v>52470</v>
      </c>
      <c r="AP7" s="373">
        <v>51630</v>
      </c>
      <c r="AQ7" s="373">
        <v>52140</v>
      </c>
      <c r="AR7" s="373">
        <v>52030</v>
      </c>
      <c r="AS7" s="373">
        <v>51990</v>
      </c>
      <c r="AT7" s="377">
        <v>57152</v>
      </c>
      <c r="AU7" s="373">
        <v>58526</v>
      </c>
      <c r="AV7" s="373">
        <v>58277</v>
      </c>
      <c r="AW7" s="373">
        <v>55909</v>
      </c>
      <c r="AX7" s="373">
        <v>55303</v>
      </c>
      <c r="AY7" s="373">
        <v>58424</v>
      </c>
      <c r="AZ7" s="373">
        <v>56706</v>
      </c>
      <c r="BA7" s="373">
        <v>57565</v>
      </c>
      <c r="BB7" s="373">
        <v>61481</v>
      </c>
      <c r="BC7" s="373">
        <v>61877</v>
      </c>
      <c r="BD7" s="373">
        <v>61367</v>
      </c>
      <c r="BE7" s="373">
        <v>49658</v>
      </c>
      <c r="BF7" s="373">
        <v>41296</v>
      </c>
      <c r="BG7" s="373">
        <v>39412</v>
      </c>
      <c r="BH7" s="373">
        <v>42670</v>
      </c>
      <c r="BI7" s="373">
        <v>42621</v>
      </c>
      <c r="BJ7" s="373">
        <v>43930</v>
      </c>
      <c r="BK7" s="373">
        <v>44300</v>
      </c>
      <c r="BL7" s="373">
        <v>44000</v>
      </c>
      <c r="BM7" s="373">
        <v>46900</v>
      </c>
      <c r="BN7" s="373">
        <v>48100</v>
      </c>
      <c r="BO7" s="373">
        <v>52100</v>
      </c>
      <c r="BP7" s="373">
        <v>48600</v>
      </c>
      <c r="BQ7" s="373">
        <v>47000</v>
      </c>
      <c r="BR7" s="373">
        <v>52400</v>
      </c>
      <c r="BS7" s="373">
        <v>52900</v>
      </c>
      <c r="BT7" s="373">
        <v>48400</v>
      </c>
      <c r="BU7" s="378">
        <v>37400</v>
      </c>
      <c r="BV7" s="378">
        <v>24900</v>
      </c>
      <c r="BW7" s="378">
        <v>30300</v>
      </c>
      <c r="BX7" s="378">
        <v>33900</v>
      </c>
      <c r="BY7" s="378">
        <v>33100</v>
      </c>
      <c r="BZ7" s="378">
        <v>34400</v>
      </c>
      <c r="CA7" s="378">
        <v>32600</v>
      </c>
      <c r="CB7" s="378">
        <v>32500</v>
      </c>
      <c r="CC7" s="378">
        <v>40800</v>
      </c>
      <c r="CD7" s="378">
        <v>47900</v>
      </c>
      <c r="CE7" s="378">
        <v>48900</v>
      </c>
      <c r="CF7" s="378">
        <v>57200</v>
      </c>
      <c r="CG7" s="378">
        <v>62200</v>
      </c>
      <c r="CH7" s="378">
        <v>70100</v>
      </c>
      <c r="CI7" s="378">
        <v>75100</v>
      </c>
      <c r="CJ7" s="378">
        <v>71430</v>
      </c>
      <c r="CK7" s="378">
        <v>78990</v>
      </c>
      <c r="CL7" s="379">
        <v>72940</v>
      </c>
      <c r="CM7" s="359">
        <f t="shared" si="0"/>
        <v>49804.452380952382</v>
      </c>
      <c r="CN7" s="58"/>
      <c r="CO7" s="58"/>
      <c r="CP7" s="58"/>
      <c r="CQ7" s="58"/>
      <c r="CR7" s="58"/>
      <c r="CS7" s="58"/>
      <c r="CT7" s="58"/>
      <c r="CU7" s="58"/>
      <c r="CV7" s="58"/>
      <c r="CW7" s="58"/>
      <c r="CX7" s="58"/>
      <c r="CY7" s="58"/>
      <c r="CZ7" s="58"/>
      <c r="DA7" s="58"/>
      <c r="DB7" s="58"/>
      <c r="DC7" s="58"/>
      <c r="DD7" s="58"/>
      <c r="DE7" s="58"/>
      <c r="DF7" s="58"/>
      <c r="DG7" s="58"/>
      <c r="DH7" s="58"/>
      <c r="DI7" s="58"/>
      <c r="DJ7" s="58"/>
      <c r="DK7" s="58"/>
      <c r="DL7" s="58"/>
      <c r="DM7" s="58"/>
      <c r="DN7" s="58"/>
      <c r="DO7" s="58"/>
      <c r="DP7" s="58"/>
      <c r="DQ7" s="58"/>
      <c r="DR7" s="58"/>
      <c r="DS7" s="58"/>
      <c r="DT7" s="58"/>
      <c r="DU7" s="58"/>
      <c r="DV7" s="58"/>
      <c r="DW7" s="58"/>
      <c r="DX7" s="58"/>
      <c r="DY7" s="58"/>
      <c r="DZ7" s="58"/>
      <c r="EA7" s="58"/>
      <c r="EB7" s="58"/>
      <c r="EC7" s="58"/>
      <c r="ED7" s="58"/>
      <c r="EE7" s="58"/>
      <c r="EF7" s="58"/>
      <c r="EG7" s="58"/>
      <c r="EH7" s="58"/>
      <c r="EI7" s="58"/>
      <c r="EJ7" s="58"/>
      <c r="EK7" s="58"/>
      <c r="EL7" s="58"/>
      <c r="EM7" s="58"/>
      <c r="EN7" s="58"/>
      <c r="EO7" s="58"/>
      <c r="EP7" s="58"/>
      <c r="EQ7" s="58"/>
      <c r="ER7" s="58"/>
      <c r="ES7" s="58"/>
      <c r="ET7" s="58"/>
      <c r="EU7" s="58"/>
      <c r="EV7" s="58"/>
      <c r="EW7" s="58"/>
      <c r="EX7" s="58"/>
      <c r="EY7" s="58"/>
      <c r="EZ7" s="58"/>
      <c r="FA7" s="58"/>
      <c r="FB7" s="58"/>
      <c r="FC7" s="58"/>
      <c r="FD7" s="58"/>
      <c r="FE7" s="58"/>
      <c r="FF7" s="58"/>
      <c r="FG7" s="58"/>
      <c r="FH7" s="58"/>
      <c r="FI7" s="58"/>
      <c r="FJ7" s="58"/>
      <c r="FK7" s="58"/>
      <c r="FL7" s="58"/>
      <c r="FM7" s="58"/>
      <c r="FN7" s="58"/>
      <c r="FO7" s="58"/>
      <c r="FP7" s="58"/>
      <c r="FQ7" s="58"/>
      <c r="FR7" s="58"/>
      <c r="FS7" s="58"/>
      <c r="FT7" s="58"/>
      <c r="FU7" s="58"/>
      <c r="FV7" s="58"/>
    </row>
    <row r="8" spans="1:178">
      <c r="A8" s="1061"/>
      <c r="B8" s="2" t="s">
        <v>307</v>
      </c>
      <c r="C8" s="362" t="s">
        <v>143</v>
      </c>
      <c r="D8" s="362"/>
      <c r="E8" s="235" t="s">
        <v>351</v>
      </c>
      <c r="F8" s="380" t="s">
        <v>407</v>
      </c>
      <c r="G8" s="376">
        <v>78900</v>
      </c>
      <c r="H8" s="376">
        <v>75500</v>
      </c>
      <c r="I8" s="376">
        <v>76300</v>
      </c>
      <c r="J8" s="376">
        <v>77300</v>
      </c>
      <c r="K8" s="376">
        <v>74500</v>
      </c>
      <c r="L8" s="376">
        <v>78800</v>
      </c>
      <c r="M8" s="376">
        <v>75500</v>
      </c>
      <c r="N8" s="376">
        <v>77200</v>
      </c>
      <c r="O8" s="376">
        <v>71900</v>
      </c>
      <c r="P8" s="380">
        <v>74600</v>
      </c>
      <c r="Q8" s="380">
        <v>72500</v>
      </c>
      <c r="R8" s="381">
        <v>70300</v>
      </c>
      <c r="S8" s="376">
        <v>69049</v>
      </c>
      <c r="T8" s="381">
        <v>68803</v>
      </c>
      <c r="U8" s="382">
        <v>60570</v>
      </c>
      <c r="V8" s="376">
        <v>69050</v>
      </c>
      <c r="W8" s="381">
        <v>64550</v>
      </c>
      <c r="X8" s="376">
        <v>64300</v>
      </c>
      <c r="Y8" s="376">
        <v>69051</v>
      </c>
      <c r="Z8" s="376">
        <v>64800</v>
      </c>
      <c r="AA8" s="376">
        <v>67700</v>
      </c>
      <c r="AB8" s="376">
        <v>69052</v>
      </c>
      <c r="AC8" s="382">
        <v>69405</v>
      </c>
      <c r="AD8" s="376">
        <v>63700</v>
      </c>
      <c r="AE8" s="376">
        <v>69053</v>
      </c>
      <c r="AF8" s="376">
        <v>62939</v>
      </c>
      <c r="AG8" s="382">
        <v>65350</v>
      </c>
      <c r="AH8" s="376">
        <v>69054</v>
      </c>
      <c r="AI8" s="381">
        <v>63700</v>
      </c>
      <c r="AJ8" s="376">
        <v>61750</v>
      </c>
      <c r="AK8" s="383">
        <v>69055</v>
      </c>
      <c r="AL8" s="376">
        <v>68800</v>
      </c>
      <c r="AM8" s="376">
        <v>63500</v>
      </c>
      <c r="AN8" s="383">
        <v>69056</v>
      </c>
      <c r="AO8" s="376">
        <v>64500</v>
      </c>
      <c r="AP8" s="376">
        <v>64580</v>
      </c>
      <c r="AQ8" s="383">
        <v>69057</v>
      </c>
      <c r="AR8" s="376">
        <v>62925</v>
      </c>
      <c r="AS8" s="376">
        <v>71158</v>
      </c>
      <c r="AT8" s="383">
        <v>69058</v>
      </c>
      <c r="AU8" s="376">
        <v>79391</v>
      </c>
      <c r="AV8" s="376">
        <v>87624</v>
      </c>
      <c r="AW8" s="376">
        <v>91678</v>
      </c>
      <c r="AX8" s="376">
        <v>90255</v>
      </c>
      <c r="AY8" s="376">
        <v>110428</v>
      </c>
      <c r="AZ8" s="376">
        <v>113142</v>
      </c>
      <c r="BA8" s="376">
        <v>109389</v>
      </c>
      <c r="BB8" s="376">
        <v>117818</v>
      </c>
      <c r="BC8" s="376">
        <v>104990</v>
      </c>
      <c r="BD8" s="376">
        <v>79612</v>
      </c>
      <c r="BE8" s="376">
        <v>76089</v>
      </c>
      <c r="BF8" s="376">
        <v>79660</v>
      </c>
      <c r="BG8" s="376">
        <v>80367</v>
      </c>
      <c r="BH8" s="376">
        <v>75404</v>
      </c>
      <c r="BI8" s="376">
        <v>71634</v>
      </c>
      <c r="BJ8" s="376">
        <v>63615</v>
      </c>
      <c r="BK8" s="376">
        <v>66900</v>
      </c>
      <c r="BL8" s="376">
        <v>74300</v>
      </c>
      <c r="BM8" s="376">
        <v>76800</v>
      </c>
      <c r="BN8" s="376">
        <v>85000</v>
      </c>
      <c r="BO8" s="376">
        <v>87600</v>
      </c>
      <c r="BP8" s="376">
        <v>81700</v>
      </c>
      <c r="BQ8" s="376">
        <v>62200</v>
      </c>
      <c r="BR8" s="376">
        <v>63400</v>
      </c>
      <c r="BS8" s="376">
        <v>65100</v>
      </c>
      <c r="BT8" s="376">
        <v>56000</v>
      </c>
      <c r="BU8" s="384">
        <v>50100</v>
      </c>
      <c r="BV8" s="384">
        <v>28400</v>
      </c>
      <c r="BW8" s="384">
        <v>21600</v>
      </c>
      <c r="BX8" s="384">
        <v>22700</v>
      </c>
      <c r="BY8" s="384">
        <v>28600</v>
      </c>
      <c r="BZ8" s="384">
        <v>40200</v>
      </c>
      <c r="CA8" s="384">
        <v>50700</v>
      </c>
      <c r="CB8" s="384">
        <v>66900</v>
      </c>
      <c r="CC8" s="384">
        <v>94800</v>
      </c>
      <c r="CD8" s="384">
        <v>86100</v>
      </c>
      <c r="CE8" s="384">
        <v>58900</v>
      </c>
      <c r="CF8" s="384">
        <v>57400</v>
      </c>
      <c r="CG8" s="384">
        <v>80900</v>
      </c>
      <c r="CH8" s="384">
        <v>72100</v>
      </c>
      <c r="CI8" s="384">
        <v>73600</v>
      </c>
      <c r="CJ8" s="384">
        <v>88040</v>
      </c>
      <c r="CK8" s="384">
        <v>107190</v>
      </c>
      <c r="CL8" s="385">
        <v>116560</v>
      </c>
      <c r="CM8" s="319">
        <f t="shared" si="0"/>
        <v>72163.702380952382</v>
      </c>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c r="DP8" s="58"/>
      <c r="DQ8" s="58"/>
      <c r="DR8" s="58"/>
      <c r="DS8" s="58"/>
      <c r="DT8" s="58"/>
      <c r="DU8" s="58"/>
      <c r="DV8" s="58"/>
      <c r="DW8" s="58"/>
      <c r="DX8" s="58"/>
      <c r="DY8" s="58"/>
      <c r="DZ8" s="58"/>
      <c r="EA8" s="58"/>
      <c r="EB8" s="58"/>
      <c r="EC8" s="58"/>
      <c r="ED8" s="58"/>
      <c r="EE8" s="58"/>
      <c r="EF8" s="58"/>
      <c r="EG8" s="58"/>
      <c r="EH8" s="58"/>
      <c r="EI8" s="58"/>
      <c r="EJ8" s="58"/>
      <c r="EK8" s="58"/>
      <c r="EL8" s="58"/>
      <c r="EM8" s="58"/>
      <c r="EN8" s="58"/>
      <c r="EO8" s="58"/>
      <c r="EP8" s="58"/>
      <c r="EQ8" s="58"/>
      <c r="ER8" s="58"/>
      <c r="ES8" s="58"/>
      <c r="ET8" s="58"/>
      <c r="EU8" s="58"/>
      <c r="EV8" s="58"/>
      <c r="EW8" s="58"/>
      <c r="EX8" s="58"/>
      <c r="EY8" s="58"/>
      <c r="EZ8" s="58"/>
      <c r="FA8" s="58"/>
      <c r="FB8" s="58"/>
      <c r="FC8" s="58"/>
      <c r="FD8" s="58"/>
      <c r="FE8" s="58"/>
      <c r="FF8" s="58"/>
      <c r="FG8" s="58"/>
      <c r="FH8" s="58"/>
      <c r="FI8" s="58"/>
      <c r="FJ8" s="58"/>
      <c r="FK8" s="58"/>
      <c r="FL8" s="58"/>
      <c r="FM8" s="58"/>
      <c r="FN8" s="58"/>
      <c r="FO8" s="58"/>
      <c r="FP8" s="58"/>
      <c r="FQ8" s="58"/>
      <c r="FR8" s="58"/>
      <c r="FS8" s="58"/>
      <c r="FT8" s="58"/>
      <c r="FU8" s="58"/>
      <c r="FV8" s="58"/>
    </row>
    <row r="9" spans="1:178">
      <c r="A9" s="1061"/>
      <c r="B9" s="2" t="s">
        <v>307</v>
      </c>
      <c r="C9" s="362" t="s">
        <v>143</v>
      </c>
      <c r="D9" s="362"/>
      <c r="E9" s="235" t="s">
        <v>351</v>
      </c>
      <c r="F9" s="380" t="s">
        <v>137</v>
      </c>
      <c r="G9" s="376">
        <v>24398.880000000001</v>
      </c>
      <c r="H9" s="376">
        <v>25035.784242424201</v>
      </c>
      <c r="I9" s="376">
        <v>25672.688484848499</v>
      </c>
      <c r="J9" s="376">
        <v>26309.592727272699</v>
      </c>
      <c r="K9" s="376">
        <v>26946.496969697</v>
      </c>
      <c r="L9" s="376">
        <v>27583.4012121212</v>
      </c>
      <c r="M9" s="376">
        <v>28220.305454545502</v>
      </c>
      <c r="N9" s="376">
        <v>28857.209696969701</v>
      </c>
      <c r="O9" s="376">
        <v>29494.113939393901</v>
      </c>
      <c r="P9" s="381">
        <v>30131.018181818199</v>
      </c>
      <c r="Q9" s="376">
        <v>30767.922424242399</v>
      </c>
      <c r="R9" s="376">
        <v>31404.8266666667</v>
      </c>
      <c r="S9" s="376">
        <v>31722.6</v>
      </c>
      <c r="T9" s="381">
        <v>32547.5</v>
      </c>
      <c r="U9" s="382">
        <v>34500</v>
      </c>
      <c r="V9" s="376">
        <v>33372.400000000001</v>
      </c>
      <c r="W9" s="381">
        <v>34197.300000000003</v>
      </c>
      <c r="X9" s="376">
        <v>35022.199999999997</v>
      </c>
      <c r="Y9" s="376">
        <v>35847.1</v>
      </c>
      <c r="Z9" s="376">
        <v>37700</v>
      </c>
      <c r="AA9" s="376">
        <v>36672</v>
      </c>
      <c r="AB9" s="376">
        <v>37496.9</v>
      </c>
      <c r="AC9" s="382">
        <v>38321.800000000003</v>
      </c>
      <c r="AD9" s="376">
        <v>39146.699999999997</v>
      </c>
      <c r="AE9" s="376">
        <v>35300</v>
      </c>
      <c r="AF9" s="376">
        <v>39971.599999999999</v>
      </c>
      <c r="AG9" s="382">
        <v>40796.5</v>
      </c>
      <c r="AH9" s="376">
        <v>41621.4</v>
      </c>
      <c r="AI9" s="381">
        <v>42446.3</v>
      </c>
      <c r="AJ9" s="383">
        <v>38276</v>
      </c>
      <c r="AK9" s="376">
        <v>40271.199999999997</v>
      </c>
      <c r="AL9" s="376">
        <v>40096.1</v>
      </c>
      <c r="AM9" s="376">
        <v>41921</v>
      </c>
      <c r="AN9" s="376">
        <v>40745.9</v>
      </c>
      <c r="AO9" s="383">
        <v>40250</v>
      </c>
      <c r="AP9" s="376">
        <v>41570.800000000003</v>
      </c>
      <c r="AQ9" s="376">
        <v>39395.699999999997</v>
      </c>
      <c r="AR9" s="376">
        <v>38220.6</v>
      </c>
      <c r="AS9" s="376">
        <v>39045.5</v>
      </c>
      <c r="AT9" s="383">
        <v>40278</v>
      </c>
      <c r="AU9" s="376">
        <v>40825</v>
      </c>
      <c r="AV9" s="376">
        <v>39651</v>
      </c>
      <c r="AW9" s="376">
        <v>40745</v>
      </c>
      <c r="AX9" s="376">
        <v>43210</v>
      </c>
      <c r="AY9" s="376">
        <v>49220</v>
      </c>
      <c r="AZ9" s="376">
        <v>47166</v>
      </c>
      <c r="BA9" s="376">
        <v>48765</v>
      </c>
      <c r="BB9" s="376">
        <v>49461</v>
      </c>
      <c r="BC9" s="376">
        <v>53775</v>
      </c>
      <c r="BD9" s="376">
        <v>54370</v>
      </c>
      <c r="BE9" s="376">
        <v>41640</v>
      </c>
      <c r="BF9" s="376">
        <v>37117</v>
      </c>
      <c r="BG9" s="376">
        <v>37203</v>
      </c>
      <c r="BH9" s="376">
        <v>40633</v>
      </c>
      <c r="BI9" s="376">
        <v>41946</v>
      </c>
      <c r="BJ9" s="376">
        <v>44260</v>
      </c>
      <c r="BK9" s="376">
        <v>46500</v>
      </c>
      <c r="BL9" s="376">
        <v>40900</v>
      </c>
      <c r="BM9" s="376">
        <v>43100</v>
      </c>
      <c r="BN9" s="376">
        <v>41200</v>
      </c>
      <c r="BO9" s="376">
        <v>43200</v>
      </c>
      <c r="BP9" s="376">
        <v>43200</v>
      </c>
      <c r="BQ9" s="376">
        <v>45400</v>
      </c>
      <c r="BR9" s="376">
        <v>48300</v>
      </c>
      <c r="BS9" s="376">
        <v>47500</v>
      </c>
      <c r="BT9" s="376">
        <v>43200</v>
      </c>
      <c r="BU9" s="384">
        <v>30300</v>
      </c>
      <c r="BV9" s="384">
        <v>20000</v>
      </c>
      <c r="BW9" s="384">
        <v>25600</v>
      </c>
      <c r="BX9" s="384">
        <v>36800</v>
      </c>
      <c r="BY9" s="384">
        <v>39400</v>
      </c>
      <c r="BZ9" s="384">
        <v>39300</v>
      </c>
      <c r="CA9" s="384">
        <v>38800</v>
      </c>
      <c r="CB9" s="384">
        <v>38500</v>
      </c>
      <c r="CC9" s="384">
        <v>34300</v>
      </c>
      <c r="CD9" s="384">
        <v>37200</v>
      </c>
      <c r="CE9" s="384">
        <v>42600</v>
      </c>
      <c r="CF9" s="384">
        <v>46400</v>
      </c>
      <c r="CG9" s="384">
        <v>47800</v>
      </c>
      <c r="CH9" s="384">
        <v>47000</v>
      </c>
      <c r="CI9" s="384">
        <v>49100</v>
      </c>
      <c r="CJ9" s="384">
        <v>52210</v>
      </c>
      <c r="CK9" s="384">
        <v>56230</v>
      </c>
      <c r="CL9" s="385">
        <v>53120</v>
      </c>
      <c r="CM9" s="319">
        <f t="shared" si="0"/>
        <v>39151.45642857143</v>
      </c>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c r="EB9" s="58"/>
      <c r="EC9" s="58"/>
      <c r="ED9" s="58"/>
      <c r="EE9" s="58"/>
      <c r="EF9" s="58"/>
      <c r="EG9" s="58"/>
      <c r="EH9" s="58"/>
      <c r="EI9" s="58"/>
      <c r="EJ9" s="58"/>
      <c r="EK9" s="58"/>
      <c r="EL9" s="58"/>
      <c r="EM9" s="58"/>
      <c r="EN9" s="58"/>
      <c r="EO9" s="58"/>
      <c r="EP9" s="58"/>
      <c r="EQ9" s="58"/>
      <c r="ER9" s="58"/>
      <c r="ES9" s="58"/>
      <c r="ET9" s="58"/>
      <c r="EU9" s="58"/>
      <c r="EV9" s="58"/>
      <c r="EW9" s="58"/>
      <c r="EX9" s="58"/>
      <c r="EY9" s="58"/>
      <c r="EZ9" s="58"/>
      <c r="FA9" s="58"/>
      <c r="FB9" s="58"/>
      <c r="FC9" s="58"/>
      <c r="FD9" s="58"/>
      <c r="FE9" s="58"/>
      <c r="FF9" s="58"/>
      <c r="FG9" s="58"/>
      <c r="FH9" s="58"/>
      <c r="FI9" s="58"/>
      <c r="FJ9" s="58"/>
      <c r="FK9" s="58"/>
      <c r="FL9" s="58"/>
      <c r="FM9" s="58"/>
      <c r="FN9" s="58"/>
      <c r="FO9" s="58"/>
      <c r="FP9" s="58"/>
      <c r="FQ9" s="58"/>
      <c r="FR9" s="58"/>
      <c r="FS9" s="58"/>
      <c r="FT9" s="58"/>
      <c r="FU9" s="58"/>
      <c r="FV9" s="58"/>
    </row>
    <row r="10" spans="1:178">
      <c r="A10" s="1061"/>
      <c r="B10" s="2" t="s">
        <v>307</v>
      </c>
      <c r="C10" s="362" t="s">
        <v>143</v>
      </c>
      <c r="D10" s="362"/>
      <c r="E10" s="235" t="s">
        <v>351</v>
      </c>
      <c r="F10" s="380" t="s">
        <v>136</v>
      </c>
      <c r="G10" s="376">
        <v>37759.000000000102</v>
      </c>
      <c r="H10" s="376">
        <v>36931.1292929294</v>
      </c>
      <c r="I10" s="376">
        <v>36103.258585858697</v>
      </c>
      <c r="J10" s="376">
        <v>35275.3878787879</v>
      </c>
      <c r="K10" s="376">
        <v>34447.517171717198</v>
      </c>
      <c r="L10" s="376">
        <v>33619.646464646503</v>
      </c>
      <c r="M10" s="376">
        <v>32791.775757575801</v>
      </c>
      <c r="N10" s="376">
        <v>31963.905050505098</v>
      </c>
      <c r="O10" s="376">
        <v>31136.034343434399</v>
      </c>
      <c r="P10" s="381">
        <v>30308.163636363701</v>
      </c>
      <c r="Q10" s="376">
        <v>29480.292929292998</v>
      </c>
      <c r="R10" s="376">
        <v>28652.422222222202</v>
      </c>
      <c r="S10" s="376">
        <v>31782.666666666701</v>
      </c>
      <c r="T10" s="381">
        <v>31356.666666666701</v>
      </c>
      <c r="U10" s="382">
        <v>22930</v>
      </c>
      <c r="V10" s="376">
        <v>22278</v>
      </c>
      <c r="W10" s="381">
        <v>20505</v>
      </c>
      <c r="X10" s="376">
        <v>21079</v>
      </c>
      <c r="Y10" s="376">
        <v>22653</v>
      </c>
      <c r="Z10" s="376">
        <v>22279</v>
      </c>
      <c r="AA10" s="376">
        <v>22327</v>
      </c>
      <c r="AB10" s="376">
        <v>23801</v>
      </c>
      <c r="AC10" s="382">
        <v>22740</v>
      </c>
      <c r="AD10" s="376">
        <v>22280</v>
      </c>
      <c r="AE10" s="376">
        <v>21799</v>
      </c>
      <c r="AF10" s="376">
        <v>21523</v>
      </c>
      <c r="AG10" s="382">
        <v>23055</v>
      </c>
      <c r="AH10" s="376">
        <v>22281</v>
      </c>
      <c r="AI10" s="381">
        <v>21450</v>
      </c>
      <c r="AJ10" s="376">
        <v>22640</v>
      </c>
      <c r="AK10" s="376">
        <v>25818.666666666701</v>
      </c>
      <c r="AL10" s="383">
        <v>22282</v>
      </c>
      <c r="AM10" s="376">
        <v>25392.666666666701</v>
      </c>
      <c r="AN10" s="376">
        <v>24966.666666666701</v>
      </c>
      <c r="AO10" s="376">
        <v>24540.666666666701</v>
      </c>
      <c r="AP10" s="383">
        <v>22283</v>
      </c>
      <c r="AQ10" s="376">
        <v>24114.666666666701</v>
      </c>
      <c r="AR10" s="376">
        <v>23688.666666666701</v>
      </c>
      <c r="AS10" s="376">
        <v>23262.666666666701</v>
      </c>
      <c r="AT10" s="383">
        <v>22284</v>
      </c>
      <c r="AU10" s="376">
        <v>23133</v>
      </c>
      <c r="AV10" s="376">
        <v>21818</v>
      </c>
      <c r="AW10" s="376">
        <v>22281</v>
      </c>
      <c r="AX10" s="376">
        <v>24177</v>
      </c>
      <c r="AY10" s="376">
        <v>28071</v>
      </c>
      <c r="AZ10" s="376">
        <v>28045</v>
      </c>
      <c r="BA10" s="376">
        <v>29524</v>
      </c>
      <c r="BB10" s="376">
        <v>28439</v>
      </c>
      <c r="BC10" s="376">
        <v>30668</v>
      </c>
      <c r="BD10" s="376">
        <v>33226</v>
      </c>
      <c r="BE10" s="376">
        <v>28437</v>
      </c>
      <c r="BF10" s="376">
        <v>23915</v>
      </c>
      <c r="BG10" s="376">
        <v>25268</v>
      </c>
      <c r="BH10" s="376">
        <v>28957</v>
      </c>
      <c r="BI10" s="376">
        <v>29150</v>
      </c>
      <c r="BJ10" s="376">
        <v>30044</v>
      </c>
      <c r="BK10" s="376">
        <v>28400</v>
      </c>
      <c r="BL10" s="376">
        <v>25400</v>
      </c>
      <c r="BM10" s="376">
        <v>26700</v>
      </c>
      <c r="BN10" s="376">
        <v>22400</v>
      </c>
      <c r="BO10" s="376">
        <v>24500</v>
      </c>
      <c r="BP10" s="376">
        <v>21200</v>
      </c>
      <c r="BQ10" s="376">
        <v>18600</v>
      </c>
      <c r="BR10" s="376">
        <v>21400</v>
      </c>
      <c r="BS10" s="376">
        <v>22400</v>
      </c>
      <c r="BT10" s="376">
        <v>23100</v>
      </c>
      <c r="BU10" s="384">
        <v>14400</v>
      </c>
      <c r="BV10" s="384">
        <v>10800</v>
      </c>
      <c r="BW10" s="384">
        <v>14100</v>
      </c>
      <c r="BX10" s="384">
        <v>18300</v>
      </c>
      <c r="BY10" s="384">
        <v>20100</v>
      </c>
      <c r="BZ10" s="384">
        <v>21300</v>
      </c>
      <c r="CA10" s="384">
        <v>20000</v>
      </c>
      <c r="CB10" s="384">
        <v>20600</v>
      </c>
      <c r="CC10" s="384">
        <v>21500</v>
      </c>
      <c r="CD10" s="384">
        <v>23400</v>
      </c>
      <c r="CE10" s="384">
        <v>24700</v>
      </c>
      <c r="CF10" s="384">
        <v>27200</v>
      </c>
      <c r="CG10" s="384">
        <v>28300</v>
      </c>
      <c r="CH10" s="384">
        <v>29000</v>
      </c>
      <c r="CI10" s="384">
        <v>29700</v>
      </c>
      <c r="CJ10" s="384">
        <v>31350</v>
      </c>
      <c r="CK10" s="384">
        <v>30470</v>
      </c>
      <c r="CL10" s="385">
        <v>31250</v>
      </c>
      <c r="CM10" s="319">
        <f t="shared" si="0"/>
        <v>25495.053968253982</v>
      </c>
      <c r="CN10" s="58"/>
      <c r="CO10" s="58"/>
      <c r="CP10" s="58"/>
      <c r="CQ10" s="58"/>
      <c r="CR10" s="58"/>
      <c r="CS10" s="58"/>
      <c r="CT10" s="58"/>
      <c r="CU10" s="58"/>
      <c r="CV10" s="58"/>
      <c r="CW10" s="58"/>
      <c r="CX10" s="58"/>
      <c r="CY10" s="58"/>
      <c r="CZ10" s="58"/>
      <c r="DA10" s="58"/>
      <c r="DB10" s="58"/>
      <c r="DC10" s="58"/>
      <c r="DD10" s="58"/>
      <c r="DE10" s="58"/>
      <c r="DF10" s="58"/>
      <c r="DG10" s="58"/>
      <c r="DH10" s="58"/>
      <c r="DI10" s="58"/>
      <c r="DJ10" s="58"/>
      <c r="DK10" s="58"/>
      <c r="DL10" s="58"/>
      <c r="DM10" s="58"/>
      <c r="DN10" s="58"/>
      <c r="DO10" s="58"/>
      <c r="DP10" s="58"/>
      <c r="DQ10" s="58"/>
      <c r="DR10" s="58"/>
      <c r="DS10" s="58"/>
      <c r="DT10" s="58"/>
      <c r="DU10" s="58"/>
      <c r="DV10" s="58"/>
      <c r="DW10" s="58"/>
      <c r="DX10" s="58"/>
      <c r="DY10" s="58"/>
      <c r="DZ10" s="58"/>
      <c r="EA10" s="58"/>
      <c r="EB10" s="58"/>
      <c r="EC10" s="58"/>
      <c r="ED10" s="58"/>
      <c r="EE10" s="58"/>
      <c r="EF10" s="58"/>
      <c r="EG10" s="58"/>
      <c r="EH10" s="58"/>
      <c r="EI10" s="58"/>
      <c r="EJ10" s="58"/>
      <c r="EK10" s="58"/>
      <c r="EL10" s="58"/>
      <c r="EM10" s="58"/>
      <c r="EN10" s="58"/>
      <c r="EO10" s="58"/>
      <c r="EP10" s="58"/>
      <c r="EQ10" s="58"/>
      <c r="ER10" s="58"/>
      <c r="ES10" s="58"/>
      <c r="ET10" s="58"/>
      <c r="EU10" s="58"/>
      <c r="EV10" s="58"/>
      <c r="EW10" s="58"/>
      <c r="EX10" s="58"/>
      <c r="EY10" s="58"/>
      <c r="EZ10" s="58"/>
      <c r="FA10" s="58"/>
      <c r="FB10" s="58"/>
      <c r="FC10" s="58"/>
      <c r="FD10" s="58"/>
      <c r="FE10" s="58"/>
      <c r="FF10" s="58"/>
      <c r="FG10" s="58"/>
      <c r="FH10" s="58"/>
      <c r="FI10" s="58"/>
      <c r="FJ10" s="58"/>
      <c r="FK10" s="58"/>
      <c r="FL10" s="58"/>
      <c r="FM10" s="58"/>
      <c r="FN10" s="58"/>
      <c r="FO10" s="58"/>
      <c r="FP10" s="58"/>
      <c r="FQ10" s="58"/>
      <c r="FR10" s="58"/>
      <c r="FS10" s="58"/>
      <c r="FT10" s="58"/>
      <c r="FU10" s="58"/>
      <c r="FV10" s="58"/>
    </row>
    <row r="11" spans="1:178">
      <c r="A11" s="1062"/>
      <c r="B11" s="224" t="s">
        <v>307</v>
      </c>
      <c r="C11" s="367" t="s">
        <v>143</v>
      </c>
      <c r="D11" s="367"/>
      <c r="E11" s="336" t="s">
        <v>351</v>
      </c>
      <c r="F11" s="386" t="s">
        <v>135</v>
      </c>
      <c r="G11" s="387">
        <v>32175.4666666667</v>
      </c>
      <c r="H11" s="387">
        <v>32270.216161616201</v>
      </c>
      <c r="I11" s="387">
        <v>32364.965656565699</v>
      </c>
      <c r="J11" s="387">
        <v>32459.7151515152</v>
      </c>
      <c r="K11" s="387">
        <v>32554.464646464701</v>
      </c>
      <c r="L11" s="387">
        <v>32649.214141414199</v>
      </c>
      <c r="M11" s="387">
        <v>32743.9636363637</v>
      </c>
      <c r="N11" s="387">
        <v>32838.713131313198</v>
      </c>
      <c r="O11" s="387">
        <v>32933.462626262699</v>
      </c>
      <c r="P11" s="381">
        <v>33028.212121212098</v>
      </c>
      <c r="Q11" s="387">
        <v>33122.9616161616</v>
      </c>
      <c r="R11" s="387">
        <v>33217.711111111101</v>
      </c>
      <c r="S11" s="387">
        <v>33015.666666666701</v>
      </c>
      <c r="T11" s="388">
        <v>33126.166666666701</v>
      </c>
      <c r="U11" s="389">
        <v>33236.666666666701</v>
      </c>
      <c r="V11" s="387">
        <v>35084</v>
      </c>
      <c r="W11" s="388">
        <v>33347.166666666701</v>
      </c>
      <c r="X11" s="387">
        <v>33457.666666666701</v>
      </c>
      <c r="Y11" s="387">
        <v>33568.166666666701</v>
      </c>
      <c r="Z11" s="376">
        <v>35085</v>
      </c>
      <c r="AA11" s="387">
        <v>33678.666666666701</v>
      </c>
      <c r="AB11" s="387">
        <v>33789.166666666701</v>
      </c>
      <c r="AC11" s="389">
        <v>33899.666666666701</v>
      </c>
      <c r="AD11" s="387">
        <v>35086</v>
      </c>
      <c r="AE11" s="376">
        <v>34010.166666666701</v>
      </c>
      <c r="AF11" s="387">
        <v>34120.666666666701</v>
      </c>
      <c r="AG11" s="389">
        <v>34231.166666666701</v>
      </c>
      <c r="AH11" s="387">
        <v>35087</v>
      </c>
      <c r="AI11" s="388">
        <v>34341.666666666701</v>
      </c>
      <c r="AJ11" s="387">
        <v>34452.166666666701</v>
      </c>
      <c r="AK11" s="387">
        <v>34562.666666666701</v>
      </c>
      <c r="AL11" s="390">
        <v>35088</v>
      </c>
      <c r="AM11" s="387">
        <v>34673.166666666701</v>
      </c>
      <c r="AN11" s="387">
        <v>34783.666666666701</v>
      </c>
      <c r="AO11" s="387">
        <v>34894.166666666701</v>
      </c>
      <c r="AP11" s="390">
        <v>35089</v>
      </c>
      <c r="AQ11" s="387">
        <v>35004.666666666701</v>
      </c>
      <c r="AR11" s="387">
        <v>35115.166666666701</v>
      </c>
      <c r="AS11" s="387">
        <v>35225.666666666701</v>
      </c>
      <c r="AT11" s="390">
        <v>35090</v>
      </c>
      <c r="AU11" s="387">
        <v>35648</v>
      </c>
      <c r="AV11" s="387">
        <v>34823</v>
      </c>
      <c r="AW11" s="387">
        <v>35869</v>
      </c>
      <c r="AX11" s="387">
        <v>38900</v>
      </c>
      <c r="AY11" s="387">
        <v>48637</v>
      </c>
      <c r="AZ11" s="387">
        <v>46484</v>
      </c>
      <c r="BA11" s="387">
        <v>48182</v>
      </c>
      <c r="BB11" s="387">
        <v>48880</v>
      </c>
      <c r="BC11" s="387">
        <v>53437</v>
      </c>
      <c r="BD11" s="387">
        <v>53976</v>
      </c>
      <c r="BE11" s="387">
        <v>40000</v>
      </c>
      <c r="BF11" s="387">
        <v>35076</v>
      </c>
      <c r="BG11" s="387">
        <v>35172</v>
      </c>
      <c r="BH11" s="387">
        <v>38937</v>
      </c>
      <c r="BI11" s="387">
        <v>40545</v>
      </c>
      <c r="BJ11" s="387">
        <v>43117</v>
      </c>
      <c r="BK11" s="387">
        <v>41200</v>
      </c>
      <c r="BL11" s="387">
        <v>35000</v>
      </c>
      <c r="BM11" s="387">
        <v>37500</v>
      </c>
      <c r="BN11" s="387">
        <v>35100</v>
      </c>
      <c r="BO11" s="387">
        <v>37300</v>
      </c>
      <c r="BP11" s="387">
        <v>37300</v>
      </c>
      <c r="BQ11" s="387">
        <v>39700</v>
      </c>
      <c r="BR11" s="387">
        <v>41700</v>
      </c>
      <c r="BS11" s="387">
        <v>40900</v>
      </c>
      <c r="BT11" s="387">
        <v>38000</v>
      </c>
      <c r="BU11" s="391">
        <v>25000</v>
      </c>
      <c r="BV11" s="391">
        <v>19100</v>
      </c>
      <c r="BW11" s="391">
        <v>25000</v>
      </c>
      <c r="BX11" s="391">
        <v>31800</v>
      </c>
      <c r="BY11" s="391">
        <v>33800</v>
      </c>
      <c r="BZ11" s="391">
        <v>35100</v>
      </c>
      <c r="CA11" s="391">
        <v>36000</v>
      </c>
      <c r="CB11" s="391">
        <v>35700</v>
      </c>
      <c r="CC11" s="391">
        <v>35700</v>
      </c>
      <c r="CD11" s="391">
        <v>39300</v>
      </c>
      <c r="CE11" s="391">
        <v>42500</v>
      </c>
      <c r="CF11" s="391">
        <v>46600</v>
      </c>
      <c r="CG11" s="391">
        <v>48300</v>
      </c>
      <c r="CH11" s="391">
        <v>44700</v>
      </c>
      <c r="CI11" s="391">
        <v>47100</v>
      </c>
      <c r="CJ11" s="391">
        <v>50610</v>
      </c>
      <c r="CK11" s="391">
        <v>50620</v>
      </c>
      <c r="CL11" s="392">
        <v>44350</v>
      </c>
      <c r="CM11" s="369">
        <f t="shared" si="0"/>
        <v>36990.060317460338</v>
      </c>
      <c r="CN11" s="58"/>
      <c r="CO11" s="58"/>
      <c r="CP11" s="58"/>
      <c r="CQ11" s="58"/>
      <c r="CR11" s="58"/>
      <c r="CS11" s="58"/>
      <c r="CT11" s="58"/>
      <c r="CU11" s="58"/>
      <c r="CV11" s="58"/>
      <c r="CW11" s="58"/>
      <c r="CX11" s="58"/>
      <c r="CY11" s="58"/>
      <c r="CZ11" s="58"/>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c r="EB11" s="58"/>
      <c r="EC11" s="58"/>
      <c r="ED11" s="58"/>
      <c r="EE11" s="58"/>
      <c r="EF11" s="58"/>
      <c r="EG11" s="58"/>
      <c r="EH11" s="58"/>
      <c r="EI11" s="58"/>
      <c r="EJ11" s="58"/>
      <c r="EK11" s="58"/>
      <c r="EL11" s="58"/>
      <c r="EM11" s="58"/>
      <c r="EN11" s="58"/>
      <c r="EO11" s="58"/>
      <c r="EP11" s="58"/>
      <c r="EQ11" s="58"/>
      <c r="ER11" s="58"/>
      <c r="ES11" s="58"/>
      <c r="ET11" s="58"/>
      <c r="EU11" s="58"/>
      <c r="EV11" s="58"/>
      <c r="EW11" s="58"/>
      <c r="EX11" s="58"/>
      <c r="EY11" s="58"/>
      <c r="EZ11" s="58"/>
      <c r="FA11" s="58"/>
      <c r="FB11" s="58"/>
      <c r="FC11" s="58"/>
      <c r="FD11" s="58"/>
      <c r="FE11" s="58"/>
      <c r="FF11" s="58"/>
      <c r="FG11" s="58"/>
      <c r="FH11" s="58"/>
      <c r="FI11" s="58"/>
      <c r="FJ11" s="58"/>
      <c r="FK11" s="58"/>
      <c r="FL11" s="58"/>
      <c r="FM11" s="58"/>
      <c r="FN11" s="58"/>
      <c r="FO11" s="58"/>
      <c r="FP11" s="58"/>
      <c r="FQ11" s="58"/>
      <c r="FR11" s="58"/>
      <c r="FS11" s="58"/>
      <c r="FT11" s="58"/>
      <c r="FU11" s="58"/>
      <c r="FV11" s="58"/>
    </row>
    <row r="12" spans="1:178" ht="12.75" customHeight="1">
      <c r="A12" s="1063" t="s">
        <v>523</v>
      </c>
      <c r="B12" s="159" t="s">
        <v>312</v>
      </c>
      <c r="C12" s="393" t="s">
        <v>313</v>
      </c>
      <c r="D12" s="393"/>
      <c r="E12" s="1065" t="s">
        <v>314</v>
      </c>
      <c r="F12" s="394" t="s">
        <v>149</v>
      </c>
      <c r="G12" s="395">
        <f>Feed!$B$4*1000/12</f>
        <v>44583.333333333336</v>
      </c>
      <c r="H12" s="395">
        <f>Feed!$B$4*1000/12</f>
        <v>44583.333333333336</v>
      </c>
      <c r="I12" s="395">
        <f>Feed!$B$4*1000/12</f>
        <v>44583.333333333336</v>
      </c>
      <c r="J12" s="395">
        <f>Feed!$B$4*1000/12</f>
        <v>44583.333333333336</v>
      </c>
      <c r="K12" s="395">
        <f>Feed!$B$4*1000/12</f>
        <v>44583.333333333336</v>
      </c>
      <c r="L12" s="395">
        <f>Feed!$B$4*1000/12</f>
        <v>44583.333333333336</v>
      </c>
      <c r="M12" s="395">
        <f>Feed!$B$4*1000/12</f>
        <v>44583.333333333336</v>
      </c>
      <c r="N12" s="395">
        <f>Feed!$B$4*1000/12</f>
        <v>44583.333333333336</v>
      </c>
      <c r="O12" s="395">
        <f>Feed!$B$4*1000/12</f>
        <v>44583.333333333336</v>
      </c>
      <c r="P12" s="395">
        <f>Feed!$B$4*1000/12</f>
        <v>44583.333333333336</v>
      </c>
      <c r="Q12" s="395">
        <f>Feed!$B$4*1000/12</f>
        <v>44583.333333333336</v>
      </c>
      <c r="R12" s="395">
        <f>Feed!$B$4*1000/12</f>
        <v>44583.333333333336</v>
      </c>
      <c r="S12" s="395">
        <f>Feed!$B$4*1000/12</f>
        <v>44583.333333333336</v>
      </c>
      <c r="T12" s="395">
        <f>Feed!$B$4*1000/12</f>
        <v>44583.333333333336</v>
      </c>
      <c r="U12" s="395">
        <f>Feed!$B$4*1000/12</f>
        <v>44583.333333333336</v>
      </c>
      <c r="V12" s="395">
        <f>Feed!$B$4*1000/12</f>
        <v>44583.333333333336</v>
      </c>
      <c r="W12" s="395">
        <f>Feed!$B$4*1000/12</f>
        <v>44583.333333333336</v>
      </c>
      <c r="X12" s="395">
        <f>Feed!$B$4*1000/12</f>
        <v>44583.333333333336</v>
      </c>
      <c r="Y12" s="395">
        <f>Feed!$B$4*1000/12</f>
        <v>44583.333333333336</v>
      </c>
      <c r="Z12" s="395">
        <f>Feed!$B$4*1000/12</f>
        <v>44583.333333333336</v>
      </c>
      <c r="AA12" s="395">
        <f>Feed!$B$4*1000/12</f>
        <v>44583.333333333336</v>
      </c>
      <c r="AB12" s="395">
        <f>Feed!$B$4*1000/12</f>
        <v>44583.333333333336</v>
      </c>
      <c r="AC12" s="395">
        <f>Feed!$B$4*1000/12</f>
        <v>44583.333333333336</v>
      </c>
      <c r="AD12" s="395">
        <f>Feed!$B$4*1000/12</f>
        <v>44583.333333333336</v>
      </c>
      <c r="AE12" s="395">
        <f>Feed!$B$4*1000/12</f>
        <v>44583.333333333336</v>
      </c>
      <c r="AF12" s="395">
        <f>Feed!$B$4*1000/12</f>
        <v>44583.333333333336</v>
      </c>
      <c r="AG12" s="395">
        <f>Feed!$B$4*1000/12</f>
        <v>44583.333333333336</v>
      </c>
      <c r="AH12" s="395">
        <f>Feed!$B$4*1000/12</f>
        <v>44583.333333333336</v>
      </c>
      <c r="AI12" s="395">
        <f>Feed!$B$4*1000/12</f>
        <v>44583.333333333336</v>
      </c>
      <c r="AJ12" s="395">
        <f>Feed!$B$4*1000/12</f>
        <v>44583.333333333336</v>
      </c>
      <c r="AK12" s="395">
        <f>Feed!$B$4*1000/12</f>
        <v>44583.333333333336</v>
      </c>
      <c r="AL12" s="395">
        <f>Feed!$B$4*1000/12</f>
        <v>44583.333333333336</v>
      </c>
      <c r="AM12" s="395">
        <f>Feed!$B$4*1000/12</f>
        <v>44583.333333333336</v>
      </c>
      <c r="AN12" s="395">
        <f>Feed!$B$4*1000/12</f>
        <v>44583.333333333336</v>
      </c>
      <c r="AO12" s="395">
        <f>Feed!$B$4*1000/12</f>
        <v>44583.333333333336</v>
      </c>
      <c r="AP12" s="395">
        <f>Feed!$B$4*1000/12</f>
        <v>44583.333333333336</v>
      </c>
      <c r="AQ12" s="395">
        <f>Feed!$B$4*1000/12</f>
        <v>44583.333333333336</v>
      </c>
      <c r="AR12" s="395">
        <f>Feed!$B$4*1000/12</f>
        <v>44583.333333333336</v>
      </c>
      <c r="AS12" s="395">
        <f>Feed!$B$4*1000/12</f>
        <v>44583.333333333336</v>
      </c>
      <c r="AT12" s="395">
        <f>Feed!$B$4*1000/12</f>
        <v>44583.333333333336</v>
      </c>
      <c r="AU12" s="395">
        <f>Feed!$B$4*1000/12</f>
        <v>44583.333333333336</v>
      </c>
      <c r="AV12" s="395">
        <f>Feed!$B$4*1000/12</f>
        <v>44583.333333333336</v>
      </c>
      <c r="AW12" s="395">
        <f>Feed!$B$4*1000/12</f>
        <v>44583.333333333336</v>
      </c>
      <c r="AX12" s="395">
        <f>Feed!$B$4*1000/12</f>
        <v>44583.333333333336</v>
      </c>
      <c r="AY12" s="395">
        <f>Feed!$B$4*1000/12</f>
        <v>44583.333333333336</v>
      </c>
      <c r="AZ12" s="395">
        <f>Feed!$B$4*1000/12</f>
        <v>44583.333333333336</v>
      </c>
      <c r="BA12" s="395">
        <f>Feed!$B$4*1000/12</f>
        <v>44583.333333333336</v>
      </c>
      <c r="BB12" s="395">
        <f>Feed!$B$4*1000/12</f>
        <v>44583.333333333336</v>
      </c>
      <c r="BC12" s="395">
        <f>Feed!$B$4*1000/12</f>
        <v>44583.333333333336</v>
      </c>
      <c r="BD12" s="395">
        <f>Feed!$B$4*1000/12</f>
        <v>44583.333333333336</v>
      </c>
      <c r="BE12" s="395">
        <f>Feed!$B$4*1000/12</f>
        <v>44583.333333333336</v>
      </c>
      <c r="BF12" s="395">
        <f>Feed!$B$4*1000/12</f>
        <v>44583.333333333336</v>
      </c>
      <c r="BG12" s="395">
        <f>Feed!$B$4*1000/12</f>
        <v>44583.333333333336</v>
      </c>
      <c r="BH12" s="395">
        <f>Feed!$B$4*1000/12</f>
        <v>44583.333333333336</v>
      </c>
      <c r="BI12" s="395">
        <f>Feed!$B$4*1000/12</f>
        <v>44583.333333333336</v>
      </c>
      <c r="BJ12" s="395">
        <f>Feed!$B$4*1000/12</f>
        <v>44583.333333333336</v>
      </c>
      <c r="BK12" s="395">
        <f>Feed!$B$4*1000/12</f>
        <v>44583.333333333336</v>
      </c>
      <c r="BL12" s="395">
        <f>Feed!$B$4*1000/12</f>
        <v>44583.333333333336</v>
      </c>
      <c r="BM12" s="395">
        <f>Feed!$B$4*1000/12</f>
        <v>44583.333333333336</v>
      </c>
      <c r="BN12" s="395">
        <f>Feed!$B$4*1000/12</f>
        <v>44583.333333333336</v>
      </c>
      <c r="BO12" s="395">
        <f>Feed!$B$4*1000/12</f>
        <v>44583.333333333336</v>
      </c>
      <c r="BP12" s="395">
        <f>Feed!$B$4*1000/12</f>
        <v>44583.333333333336</v>
      </c>
      <c r="BQ12" s="395">
        <f>Feed!$B$4*1000/12</f>
        <v>44583.333333333336</v>
      </c>
      <c r="BR12" s="395">
        <f>Feed!$B$4*1000/12</f>
        <v>44583.333333333336</v>
      </c>
      <c r="BS12" s="395">
        <f>Feed!$B$4*1000/12</f>
        <v>44583.333333333336</v>
      </c>
      <c r="BT12" s="395">
        <f>Feed!$B$4*1000/12</f>
        <v>44583.333333333336</v>
      </c>
      <c r="BU12" s="395">
        <f>Feed!$B$4*1000/12</f>
        <v>44583.333333333336</v>
      </c>
      <c r="BV12" s="395">
        <f>Feed!$B$4*1000/12</f>
        <v>44583.333333333336</v>
      </c>
      <c r="BW12" s="395">
        <f>Feed!$B$4*1000/12</f>
        <v>44583.333333333336</v>
      </c>
      <c r="BX12" s="395">
        <f>Feed!$B$4*1000/12</f>
        <v>44583.333333333336</v>
      </c>
      <c r="BY12" s="395">
        <f>Feed!$B$4*1000/12</f>
        <v>44583.333333333336</v>
      </c>
      <c r="BZ12" s="395">
        <f>Feed!$B$4*1000/12</f>
        <v>44583.333333333336</v>
      </c>
      <c r="CA12" s="395">
        <f>Feed!$B$4*1000/12</f>
        <v>44583.333333333336</v>
      </c>
      <c r="CB12" s="395">
        <f>Feed!$B$4*1000/12</f>
        <v>44583.333333333336</v>
      </c>
      <c r="CC12" s="395">
        <f>Feed!$B$4*1000/12</f>
        <v>44583.333333333336</v>
      </c>
      <c r="CD12" s="395">
        <f>Feed!$B$4*1000/12</f>
        <v>44583.333333333336</v>
      </c>
      <c r="CE12" s="395">
        <f>Feed!$B$4*1000/12</f>
        <v>44583.333333333336</v>
      </c>
      <c r="CF12" s="395">
        <f>Feed!$B$4*1000/12</f>
        <v>44583.333333333336</v>
      </c>
      <c r="CG12" s="395">
        <f>Feed!$B$4*1000/12</f>
        <v>44583.333333333336</v>
      </c>
      <c r="CH12" s="395">
        <f>Feed!$B$4*1000/12</f>
        <v>44583.333333333336</v>
      </c>
      <c r="CI12" s="395">
        <f>Feed!$B$4*1000/12</f>
        <v>44583.333333333336</v>
      </c>
      <c r="CJ12" s="395">
        <f>Feed!$B$4*1000/12</f>
        <v>44583.333333333336</v>
      </c>
      <c r="CK12" s="395">
        <f>Feed!$B$4*1000/12</f>
        <v>44583.333333333336</v>
      </c>
      <c r="CL12" s="395">
        <f>Feed!$B$4*1000/12</f>
        <v>44583.333333333336</v>
      </c>
      <c r="CM12" s="395">
        <f>Feed!$B$4*1000/12</f>
        <v>44583.333333333336</v>
      </c>
      <c r="CN12" s="58"/>
      <c r="CO12" s="58"/>
      <c r="CP12" s="58"/>
      <c r="CQ12" s="58"/>
      <c r="CR12" s="58"/>
      <c r="CS12" s="58"/>
      <c r="CT12" s="58"/>
      <c r="CU12" s="58"/>
      <c r="CV12" s="58"/>
      <c r="CW12" s="58"/>
      <c r="CX12" s="58"/>
      <c r="CY12" s="58"/>
      <c r="CZ12" s="58"/>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58"/>
      <c r="EC12" s="58"/>
      <c r="ED12" s="58"/>
      <c r="EE12" s="58"/>
      <c r="EF12" s="58"/>
      <c r="EG12" s="58"/>
      <c r="EH12" s="58"/>
      <c r="EI12" s="58"/>
      <c r="EJ12" s="58"/>
      <c r="EK12" s="58"/>
      <c r="EL12" s="58"/>
      <c r="EM12" s="58"/>
      <c r="EN12" s="58"/>
      <c r="EO12" s="58"/>
      <c r="EP12" s="58"/>
      <c r="EQ12" s="58"/>
      <c r="ER12" s="58"/>
      <c r="ES12" s="58"/>
      <c r="ET12" s="58"/>
      <c r="EU12" s="58"/>
      <c r="EV12" s="58"/>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row>
    <row r="13" spans="1:178">
      <c r="A13" s="1064"/>
      <c r="B13" s="398" t="s">
        <v>312</v>
      </c>
      <c r="C13" s="399" t="s">
        <v>313</v>
      </c>
      <c r="D13" s="399"/>
      <c r="E13" s="1066"/>
      <c r="F13" s="400" t="s">
        <v>0</v>
      </c>
      <c r="G13" s="395">
        <f>Feed!$B$6*1000/12</f>
        <v>22583.333333333332</v>
      </c>
      <c r="H13" s="395">
        <f>Feed!$B$6*1000/12</f>
        <v>22583.333333333332</v>
      </c>
      <c r="I13" s="395">
        <f>Feed!$B$6*1000/12</f>
        <v>22583.333333333332</v>
      </c>
      <c r="J13" s="395">
        <f>Feed!$B$6*1000/12</f>
        <v>22583.333333333332</v>
      </c>
      <c r="K13" s="395">
        <f>Feed!$B$6*1000/12</f>
        <v>22583.333333333332</v>
      </c>
      <c r="L13" s="395">
        <f>Feed!$B$6*1000/12</f>
        <v>22583.333333333332</v>
      </c>
      <c r="M13" s="395">
        <f>Feed!$B$6*1000/12</f>
        <v>22583.333333333332</v>
      </c>
      <c r="N13" s="395">
        <f>Feed!$B$6*1000/12</f>
        <v>22583.333333333332</v>
      </c>
      <c r="O13" s="395">
        <f>Feed!$B$6*1000/12</f>
        <v>22583.333333333332</v>
      </c>
      <c r="P13" s="395">
        <f>Feed!$B$6*1000/12</f>
        <v>22583.333333333332</v>
      </c>
      <c r="Q13" s="395">
        <f>Feed!$B$6*1000/12</f>
        <v>22583.333333333332</v>
      </c>
      <c r="R13" s="395">
        <f>Feed!$B$6*1000/12</f>
        <v>22583.333333333332</v>
      </c>
      <c r="S13" s="395">
        <f>Feed!$B$6*1000/12</f>
        <v>22583.333333333332</v>
      </c>
      <c r="T13" s="395">
        <f>Feed!$B$6*1000/12</f>
        <v>22583.333333333332</v>
      </c>
      <c r="U13" s="395">
        <f>Feed!$B$6*1000/12</f>
        <v>22583.333333333332</v>
      </c>
      <c r="V13" s="395">
        <f>Feed!$B$6*1000/12</f>
        <v>22583.333333333332</v>
      </c>
      <c r="W13" s="395">
        <f>Feed!$B$6*1000/12</f>
        <v>22583.333333333332</v>
      </c>
      <c r="X13" s="395">
        <f>Feed!$B$6*1000/12</f>
        <v>22583.333333333332</v>
      </c>
      <c r="Y13" s="395">
        <f>Feed!$B$6*1000/12</f>
        <v>22583.333333333332</v>
      </c>
      <c r="Z13" s="395">
        <f>Feed!$B$6*1000/12</f>
        <v>22583.333333333332</v>
      </c>
      <c r="AA13" s="395">
        <f>Feed!$B$6*1000/12</f>
        <v>22583.333333333332</v>
      </c>
      <c r="AB13" s="395">
        <f>Feed!$B$6*1000/12</f>
        <v>22583.333333333332</v>
      </c>
      <c r="AC13" s="395">
        <f>Feed!$B$6*1000/12</f>
        <v>22583.333333333332</v>
      </c>
      <c r="AD13" s="395">
        <f>Feed!$B$6*1000/12</f>
        <v>22583.333333333332</v>
      </c>
      <c r="AE13" s="395">
        <f>Feed!$B$6*1000/12</f>
        <v>22583.333333333332</v>
      </c>
      <c r="AF13" s="395">
        <f>Feed!$B$6*1000/12</f>
        <v>22583.333333333332</v>
      </c>
      <c r="AG13" s="395">
        <f>Feed!$B$6*1000/12</f>
        <v>22583.333333333332</v>
      </c>
      <c r="AH13" s="395">
        <f>Feed!$B$6*1000/12</f>
        <v>22583.333333333332</v>
      </c>
      <c r="AI13" s="395">
        <f>Feed!$B$6*1000/12</f>
        <v>22583.333333333332</v>
      </c>
      <c r="AJ13" s="395">
        <f>Feed!$B$6*1000/12</f>
        <v>22583.333333333332</v>
      </c>
      <c r="AK13" s="395">
        <f>Feed!$B$6*1000/12</f>
        <v>22583.333333333332</v>
      </c>
      <c r="AL13" s="395">
        <f>Feed!$B$6*1000/12</f>
        <v>22583.333333333332</v>
      </c>
      <c r="AM13" s="395">
        <f>Feed!$B$6*1000/12</f>
        <v>22583.333333333332</v>
      </c>
      <c r="AN13" s="395">
        <f>Feed!$B$6*1000/12</f>
        <v>22583.333333333332</v>
      </c>
      <c r="AO13" s="395">
        <f>Feed!$B$6*1000/12</f>
        <v>22583.333333333332</v>
      </c>
      <c r="AP13" s="395">
        <f>Feed!$B$6*1000/12</f>
        <v>22583.333333333332</v>
      </c>
      <c r="AQ13" s="395">
        <f>Feed!$B$6*1000/12</f>
        <v>22583.333333333332</v>
      </c>
      <c r="AR13" s="395">
        <f>Feed!$B$6*1000/12</f>
        <v>22583.333333333332</v>
      </c>
      <c r="AS13" s="395">
        <f>Feed!$B$6*1000/12</f>
        <v>22583.333333333332</v>
      </c>
      <c r="AT13" s="395">
        <f>Feed!$B$6*1000/12</f>
        <v>22583.333333333332</v>
      </c>
      <c r="AU13" s="395">
        <f>Feed!$B$6*1000/12</f>
        <v>22583.333333333332</v>
      </c>
      <c r="AV13" s="395">
        <f>Feed!$B$6*1000/12</f>
        <v>22583.333333333332</v>
      </c>
      <c r="AW13" s="395">
        <f>Feed!$B$6*1000/12</f>
        <v>22583.333333333332</v>
      </c>
      <c r="AX13" s="395">
        <f>Feed!$B$6*1000/12</f>
        <v>22583.333333333332</v>
      </c>
      <c r="AY13" s="395">
        <f>Feed!$B$6*1000/12</f>
        <v>22583.333333333332</v>
      </c>
      <c r="AZ13" s="395">
        <f>Feed!$B$6*1000/12</f>
        <v>22583.333333333332</v>
      </c>
      <c r="BA13" s="395">
        <f>Feed!$B$6*1000/12</f>
        <v>22583.333333333332</v>
      </c>
      <c r="BB13" s="395">
        <f>Feed!$B$6*1000/12</f>
        <v>22583.333333333332</v>
      </c>
      <c r="BC13" s="395">
        <f>Feed!$B$6*1000/12</f>
        <v>22583.333333333332</v>
      </c>
      <c r="BD13" s="395">
        <f>Feed!$B$6*1000/12</f>
        <v>22583.333333333332</v>
      </c>
      <c r="BE13" s="395">
        <f>Feed!$B$6*1000/12</f>
        <v>22583.333333333332</v>
      </c>
      <c r="BF13" s="395">
        <f>Feed!$B$6*1000/12</f>
        <v>22583.333333333332</v>
      </c>
      <c r="BG13" s="395">
        <f>Feed!$B$6*1000/12</f>
        <v>22583.333333333332</v>
      </c>
      <c r="BH13" s="395">
        <f>Feed!$B$6*1000/12</f>
        <v>22583.333333333332</v>
      </c>
      <c r="BI13" s="395">
        <f>Feed!$B$6*1000/12</f>
        <v>22583.333333333332</v>
      </c>
      <c r="BJ13" s="395">
        <f>Feed!$B$6*1000/12</f>
        <v>22583.333333333332</v>
      </c>
      <c r="BK13" s="395">
        <f>Feed!$B$6*1000/12</f>
        <v>22583.333333333332</v>
      </c>
      <c r="BL13" s="395">
        <f>Feed!$B$6*1000/12</f>
        <v>22583.333333333332</v>
      </c>
      <c r="BM13" s="395">
        <f>Feed!$B$6*1000/12</f>
        <v>22583.333333333332</v>
      </c>
      <c r="BN13" s="395">
        <f>Feed!$B$6*1000/12</f>
        <v>22583.333333333332</v>
      </c>
      <c r="BO13" s="395">
        <f>Feed!$B$6*1000/12</f>
        <v>22583.333333333332</v>
      </c>
      <c r="BP13" s="395">
        <f>Feed!$B$6*1000/12</f>
        <v>22583.333333333332</v>
      </c>
      <c r="BQ13" s="395">
        <f>Feed!$B$6*1000/12</f>
        <v>22583.333333333332</v>
      </c>
      <c r="BR13" s="395">
        <f>Feed!$B$6*1000/12</f>
        <v>22583.333333333332</v>
      </c>
      <c r="BS13" s="395">
        <f>Feed!$B$6*1000/12</f>
        <v>22583.333333333332</v>
      </c>
      <c r="BT13" s="395">
        <f>Feed!$B$6*1000/12</f>
        <v>22583.333333333332</v>
      </c>
      <c r="BU13" s="395">
        <f>Feed!$B$6*1000/12</f>
        <v>22583.333333333332</v>
      </c>
      <c r="BV13" s="395">
        <f>Feed!$B$6*1000/12</f>
        <v>22583.333333333332</v>
      </c>
      <c r="BW13" s="395">
        <f>Feed!$B$6*1000/12</f>
        <v>22583.333333333332</v>
      </c>
      <c r="BX13" s="395">
        <f>Feed!$B$6*1000/12</f>
        <v>22583.333333333332</v>
      </c>
      <c r="BY13" s="395">
        <f>Feed!$B$6*1000/12</f>
        <v>22583.333333333332</v>
      </c>
      <c r="BZ13" s="395">
        <f>Feed!$B$6*1000/12</f>
        <v>22583.333333333332</v>
      </c>
      <c r="CA13" s="395">
        <f>Feed!$B$6*1000/12</f>
        <v>22583.333333333332</v>
      </c>
      <c r="CB13" s="395">
        <f>Feed!$B$6*1000/12</f>
        <v>22583.333333333332</v>
      </c>
      <c r="CC13" s="395">
        <f>Feed!$B$6*1000/12</f>
        <v>22583.333333333332</v>
      </c>
      <c r="CD13" s="395">
        <f>Feed!$B$6*1000/12</f>
        <v>22583.333333333332</v>
      </c>
      <c r="CE13" s="395">
        <f>Feed!$B$6*1000/12</f>
        <v>22583.333333333332</v>
      </c>
      <c r="CF13" s="395">
        <f>Feed!$B$6*1000/12</f>
        <v>22583.333333333332</v>
      </c>
      <c r="CG13" s="395">
        <f>Feed!$B$6*1000/12</f>
        <v>22583.333333333332</v>
      </c>
      <c r="CH13" s="395">
        <f>Feed!$B$6*1000/12</f>
        <v>22583.333333333332</v>
      </c>
      <c r="CI13" s="395">
        <f>Feed!$B$6*1000/12</f>
        <v>22583.333333333332</v>
      </c>
      <c r="CJ13" s="395">
        <f>Feed!$B$6*1000/12</f>
        <v>22583.333333333332</v>
      </c>
      <c r="CK13" s="395">
        <f>Feed!$B$6*1000/12</f>
        <v>22583.333333333332</v>
      </c>
      <c r="CL13" s="395">
        <f>Feed!$B$6*1000/12</f>
        <v>22583.333333333332</v>
      </c>
      <c r="CM13" s="395">
        <f>Feed!$B$6*1000/12</f>
        <v>22583.333333333332</v>
      </c>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58"/>
      <c r="EC13" s="58"/>
      <c r="ED13" s="58"/>
      <c r="EE13" s="58"/>
      <c r="EF13" s="58"/>
      <c r="EG13" s="58"/>
      <c r="EH13" s="58"/>
      <c r="EI13" s="58"/>
      <c r="EJ13" s="58"/>
      <c r="EK13" s="58"/>
      <c r="EL13" s="58"/>
      <c r="EM13" s="58"/>
      <c r="EN13" s="58"/>
      <c r="EO13" s="58"/>
      <c r="EP13" s="58"/>
      <c r="EQ13" s="58"/>
      <c r="ER13" s="58"/>
      <c r="ES13" s="58"/>
      <c r="ET13" s="58"/>
      <c r="EU13" s="58"/>
      <c r="EV13" s="58"/>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row>
    <row r="14" spans="1:178">
      <c r="A14" s="1064"/>
      <c r="B14" s="398" t="s">
        <v>312</v>
      </c>
      <c r="C14" s="399" t="s">
        <v>313</v>
      </c>
      <c r="D14" s="399"/>
      <c r="E14" s="1066"/>
      <c r="F14" s="400" t="s">
        <v>306</v>
      </c>
      <c r="G14" s="395">
        <f>Feed!$B$7*1000/12</f>
        <v>13916.666666666666</v>
      </c>
      <c r="H14" s="395">
        <f>Feed!$B$7*1000/12</f>
        <v>13916.666666666666</v>
      </c>
      <c r="I14" s="395">
        <f>Feed!$B$7*1000/12</f>
        <v>13916.666666666666</v>
      </c>
      <c r="J14" s="395">
        <f>Feed!$B$7*1000/12</f>
        <v>13916.666666666666</v>
      </c>
      <c r="K14" s="395">
        <f>Feed!$B$7*1000/12</f>
        <v>13916.666666666666</v>
      </c>
      <c r="L14" s="395">
        <f>Feed!$B$7*1000/12</f>
        <v>13916.666666666666</v>
      </c>
      <c r="M14" s="395">
        <f>Feed!$B$7*1000/12</f>
        <v>13916.666666666666</v>
      </c>
      <c r="N14" s="395">
        <f>Feed!$B$7*1000/12</f>
        <v>13916.666666666666</v>
      </c>
      <c r="O14" s="395">
        <f>Feed!$B$7*1000/12</f>
        <v>13916.666666666666</v>
      </c>
      <c r="P14" s="395">
        <f>Feed!$B$7*1000/12</f>
        <v>13916.666666666666</v>
      </c>
      <c r="Q14" s="395">
        <f>Feed!$B$7*1000/12</f>
        <v>13916.666666666666</v>
      </c>
      <c r="R14" s="395">
        <f>Feed!$B$7*1000/12</f>
        <v>13916.666666666666</v>
      </c>
      <c r="S14" s="395">
        <f>Feed!$B$7*1000/12</f>
        <v>13916.666666666666</v>
      </c>
      <c r="T14" s="395">
        <f>Feed!$B$7*1000/12</f>
        <v>13916.666666666666</v>
      </c>
      <c r="U14" s="395">
        <f>Feed!$B$7*1000/12</f>
        <v>13916.666666666666</v>
      </c>
      <c r="V14" s="395">
        <f>Feed!$B$7*1000/12</f>
        <v>13916.666666666666</v>
      </c>
      <c r="W14" s="395">
        <f>Feed!$B$7*1000/12</f>
        <v>13916.666666666666</v>
      </c>
      <c r="X14" s="395">
        <f>Feed!$B$7*1000/12</f>
        <v>13916.666666666666</v>
      </c>
      <c r="Y14" s="395">
        <f>Feed!$B$7*1000/12</f>
        <v>13916.666666666666</v>
      </c>
      <c r="Z14" s="395">
        <f>Feed!$B$7*1000/12</f>
        <v>13916.666666666666</v>
      </c>
      <c r="AA14" s="395">
        <f>Feed!$B$7*1000/12</f>
        <v>13916.666666666666</v>
      </c>
      <c r="AB14" s="395">
        <f>Feed!$B$7*1000/12</f>
        <v>13916.666666666666</v>
      </c>
      <c r="AC14" s="395">
        <f>Feed!$B$7*1000/12</f>
        <v>13916.666666666666</v>
      </c>
      <c r="AD14" s="395">
        <f>Feed!$B$7*1000/12</f>
        <v>13916.666666666666</v>
      </c>
      <c r="AE14" s="395">
        <f>Feed!$B$7*1000/12</f>
        <v>13916.666666666666</v>
      </c>
      <c r="AF14" s="395">
        <f>Feed!$B$7*1000/12</f>
        <v>13916.666666666666</v>
      </c>
      <c r="AG14" s="395">
        <f>Feed!$B$7*1000/12</f>
        <v>13916.666666666666</v>
      </c>
      <c r="AH14" s="395">
        <f>Feed!$B$7*1000/12</f>
        <v>13916.666666666666</v>
      </c>
      <c r="AI14" s="395">
        <f>Feed!$B$7*1000/12</f>
        <v>13916.666666666666</v>
      </c>
      <c r="AJ14" s="395">
        <f>Feed!$B$7*1000/12</f>
        <v>13916.666666666666</v>
      </c>
      <c r="AK14" s="395">
        <f>Feed!$B$7*1000/12</f>
        <v>13916.666666666666</v>
      </c>
      <c r="AL14" s="395">
        <f>Feed!$B$7*1000/12</f>
        <v>13916.666666666666</v>
      </c>
      <c r="AM14" s="395">
        <f>Feed!$B$7*1000/12</f>
        <v>13916.666666666666</v>
      </c>
      <c r="AN14" s="395">
        <f>Feed!$B$7*1000/12</f>
        <v>13916.666666666666</v>
      </c>
      <c r="AO14" s="395">
        <f>Feed!$B$7*1000/12</f>
        <v>13916.666666666666</v>
      </c>
      <c r="AP14" s="395">
        <f>Feed!$B$7*1000/12</f>
        <v>13916.666666666666</v>
      </c>
      <c r="AQ14" s="395">
        <f>Feed!$B$7*1000/12</f>
        <v>13916.666666666666</v>
      </c>
      <c r="AR14" s="395">
        <f>Feed!$B$7*1000/12</f>
        <v>13916.666666666666</v>
      </c>
      <c r="AS14" s="395">
        <f>Feed!$B$7*1000/12</f>
        <v>13916.666666666666</v>
      </c>
      <c r="AT14" s="395">
        <f>Feed!$B$7*1000/12</f>
        <v>13916.666666666666</v>
      </c>
      <c r="AU14" s="395">
        <f>Feed!$B$7*1000/12</f>
        <v>13916.666666666666</v>
      </c>
      <c r="AV14" s="395">
        <f>Feed!$B$7*1000/12</f>
        <v>13916.666666666666</v>
      </c>
      <c r="AW14" s="395">
        <f>Feed!$B$7*1000/12</f>
        <v>13916.666666666666</v>
      </c>
      <c r="AX14" s="395">
        <f>Feed!$B$7*1000/12</f>
        <v>13916.666666666666</v>
      </c>
      <c r="AY14" s="395">
        <f>Feed!$B$7*1000/12</f>
        <v>13916.666666666666</v>
      </c>
      <c r="AZ14" s="395">
        <f>Feed!$B$7*1000/12</f>
        <v>13916.666666666666</v>
      </c>
      <c r="BA14" s="395">
        <f>Feed!$B$7*1000/12</f>
        <v>13916.666666666666</v>
      </c>
      <c r="BB14" s="395">
        <f>Feed!$B$7*1000/12</f>
        <v>13916.666666666666</v>
      </c>
      <c r="BC14" s="395">
        <f>Feed!$B$7*1000/12</f>
        <v>13916.666666666666</v>
      </c>
      <c r="BD14" s="395">
        <f>Feed!$B$7*1000/12</f>
        <v>13916.666666666666</v>
      </c>
      <c r="BE14" s="395">
        <f>Feed!$B$7*1000/12</f>
        <v>13916.666666666666</v>
      </c>
      <c r="BF14" s="395">
        <f>Feed!$B$7*1000/12</f>
        <v>13916.666666666666</v>
      </c>
      <c r="BG14" s="395">
        <f>Feed!$B$7*1000/12</f>
        <v>13916.666666666666</v>
      </c>
      <c r="BH14" s="395">
        <f>Feed!$B$7*1000/12</f>
        <v>13916.666666666666</v>
      </c>
      <c r="BI14" s="395">
        <f>Feed!$B$7*1000/12</f>
        <v>13916.666666666666</v>
      </c>
      <c r="BJ14" s="395">
        <f>Feed!$B$7*1000/12</f>
        <v>13916.666666666666</v>
      </c>
      <c r="BK14" s="395">
        <f>Feed!$B$7*1000/12</f>
        <v>13916.666666666666</v>
      </c>
      <c r="BL14" s="395">
        <f>Feed!$B$7*1000/12</f>
        <v>13916.666666666666</v>
      </c>
      <c r="BM14" s="395">
        <f>Feed!$B$7*1000/12</f>
        <v>13916.666666666666</v>
      </c>
      <c r="BN14" s="395">
        <f>Feed!$B$7*1000/12</f>
        <v>13916.666666666666</v>
      </c>
      <c r="BO14" s="395">
        <f>Feed!$B$7*1000/12</f>
        <v>13916.666666666666</v>
      </c>
      <c r="BP14" s="395">
        <f>Feed!$B$7*1000/12</f>
        <v>13916.666666666666</v>
      </c>
      <c r="BQ14" s="395">
        <f>Feed!$B$7*1000/12</f>
        <v>13916.666666666666</v>
      </c>
      <c r="BR14" s="395">
        <f>Feed!$B$7*1000/12</f>
        <v>13916.666666666666</v>
      </c>
      <c r="BS14" s="395">
        <f>Feed!$B$7*1000/12</f>
        <v>13916.666666666666</v>
      </c>
      <c r="BT14" s="395">
        <f>Feed!$B$7*1000/12</f>
        <v>13916.666666666666</v>
      </c>
      <c r="BU14" s="395">
        <f>Feed!$B$7*1000/12</f>
        <v>13916.666666666666</v>
      </c>
      <c r="BV14" s="395">
        <f>Feed!$B$7*1000/12</f>
        <v>13916.666666666666</v>
      </c>
      <c r="BW14" s="395">
        <f>Feed!$B$7*1000/12</f>
        <v>13916.666666666666</v>
      </c>
      <c r="BX14" s="395">
        <f>Feed!$B$7*1000/12</f>
        <v>13916.666666666666</v>
      </c>
      <c r="BY14" s="395">
        <f>Feed!$B$7*1000/12</f>
        <v>13916.666666666666</v>
      </c>
      <c r="BZ14" s="395">
        <f>Feed!$B$7*1000/12</f>
        <v>13916.666666666666</v>
      </c>
      <c r="CA14" s="395">
        <f>Feed!$B$7*1000/12</f>
        <v>13916.666666666666</v>
      </c>
      <c r="CB14" s="395">
        <f>Feed!$B$7*1000/12</f>
        <v>13916.666666666666</v>
      </c>
      <c r="CC14" s="395">
        <f>Feed!$B$7*1000/12</f>
        <v>13916.666666666666</v>
      </c>
      <c r="CD14" s="395">
        <f>Feed!$B$7*1000/12</f>
        <v>13916.666666666666</v>
      </c>
      <c r="CE14" s="395">
        <f>Feed!$B$7*1000/12</f>
        <v>13916.666666666666</v>
      </c>
      <c r="CF14" s="395">
        <f>Feed!$B$7*1000/12</f>
        <v>13916.666666666666</v>
      </c>
      <c r="CG14" s="395">
        <f>Feed!$B$7*1000/12</f>
        <v>13916.666666666666</v>
      </c>
      <c r="CH14" s="395">
        <f>Feed!$B$7*1000/12</f>
        <v>13916.666666666666</v>
      </c>
      <c r="CI14" s="395">
        <f>Feed!$B$7*1000/12</f>
        <v>13916.666666666666</v>
      </c>
      <c r="CJ14" s="395">
        <f>Feed!$B$7*1000/12</f>
        <v>13916.666666666666</v>
      </c>
      <c r="CK14" s="395">
        <f>Feed!$B$7*1000/12</f>
        <v>13916.666666666666</v>
      </c>
      <c r="CL14" s="395">
        <f>Feed!$B$7*1000/12</f>
        <v>13916.666666666666</v>
      </c>
      <c r="CM14" s="395">
        <f>Feed!$B$7*1000/12</f>
        <v>13916.666666666666</v>
      </c>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c r="EB14" s="58"/>
      <c r="EC14" s="58"/>
      <c r="ED14" s="58"/>
      <c r="EE14" s="58"/>
      <c r="EF14" s="58"/>
      <c r="EG14" s="58"/>
      <c r="EH14" s="58"/>
      <c r="EI14" s="58"/>
      <c r="EJ14" s="58"/>
      <c r="EK14" s="58"/>
      <c r="EL14" s="58"/>
      <c r="EM14" s="58"/>
      <c r="EN14" s="58"/>
      <c r="EO14" s="58"/>
      <c r="EP14" s="58"/>
      <c r="EQ14" s="58"/>
      <c r="ER14" s="58"/>
      <c r="ES14" s="58"/>
      <c r="ET14" s="58"/>
      <c r="EU14" s="58"/>
      <c r="EV14" s="58"/>
      <c r="EW14" s="58"/>
      <c r="EX14" s="58"/>
      <c r="EY14" s="58"/>
      <c r="EZ14" s="58"/>
      <c r="FA14" s="58"/>
      <c r="FB14" s="58"/>
      <c r="FC14" s="58"/>
      <c r="FD14" s="58"/>
      <c r="FE14" s="58"/>
      <c r="FF14" s="58"/>
      <c r="FG14" s="58"/>
      <c r="FH14" s="58"/>
      <c r="FI14" s="58"/>
      <c r="FJ14" s="58"/>
      <c r="FK14" s="58"/>
      <c r="FL14" s="58"/>
      <c r="FM14" s="58"/>
      <c r="FN14" s="58"/>
      <c r="FO14" s="58"/>
      <c r="FP14" s="58"/>
      <c r="FQ14" s="58"/>
      <c r="FR14" s="58"/>
      <c r="FS14" s="58"/>
      <c r="FT14" s="58"/>
      <c r="FU14" s="58"/>
      <c r="FV14" s="58"/>
    </row>
    <row r="15" spans="1:178">
      <c r="A15" s="1064"/>
      <c r="B15" s="398" t="s">
        <v>312</v>
      </c>
      <c r="C15" s="399" t="s">
        <v>313</v>
      </c>
      <c r="D15" s="399"/>
      <c r="E15" s="1066"/>
      <c r="F15" s="400" t="s">
        <v>1</v>
      </c>
      <c r="G15" s="395">
        <f>Feed!$B$5*1000/12</f>
        <v>125000</v>
      </c>
      <c r="H15" s="395">
        <f>Feed!$B$5*1000/12</f>
        <v>125000</v>
      </c>
      <c r="I15" s="395">
        <f>Feed!$B$5*1000/12</f>
        <v>125000</v>
      </c>
      <c r="J15" s="395">
        <f>Feed!$B$5*1000/12</f>
        <v>125000</v>
      </c>
      <c r="K15" s="395">
        <f>Feed!$B$5*1000/12</f>
        <v>125000</v>
      </c>
      <c r="L15" s="395">
        <f>Feed!$B$5*1000/12</f>
        <v>125000</v>
      </c>
      <c r="M15" s="395">
        <f>Feed!$B$5*1000/12</f>
        <v>125000</v>
      </c>
      <c r="N15" s="395">
        <f>Feed!$B$5*1000/12</f>
        <v>125000</v>
      </c>
      <c r="O15" s="395">
        <f>Feed!$B$5*1000/12</f>
        <v>125000</v>
      </c>
      <c r="P15" s="395">
        <f>Feed!$B$5*1000/12</f>
        <v>125000</v>
      </c>
      <c r="Q15" s="395">
        <f>Feed!$B$5*1000/12</f>
        <v>125000</v>
      </c>
      <c r="R15" s="395">
        <f>Feed!$B$5*1000/12</f>
        <v>125000</v>
      </c>
      <c r="S15" s="395">
        <f>Feed!$B$5*1000/12</f>
        <v>125000</v>
      </c>
      <c r="T15" s="395">
        <f>Feed!$B$5*1000/12</f>
        <v>125000</v>
      </c>
      <c r="U15" s="395">
        <f>Feed!$B$5*1000/12</f>
        <v>125000</v>
      </c>
      <c r="V15" s="395">
        <f>Feed!$B$5*1000/12</f>
        <v>125000</v>
      </c>
      <c r="W15" s="395">
        <f>Feed!$B$5*1000/12</f>
        <v>125000</v>
      </c>
      <c r="X15" s="395">
        <f>Feed!$B$5*1000/12</f>
        <v>125000</v>
      </c>
      <c r="Y15" s="395">
        <f>Feed!$B$5*1000/12</f>
        <v>125000</v>
      </c>
      <c r="Z15" s="395">
        <f>Feed!$B$5*1000/12</f>
        <v>125000</v>
      </c>
      <c r="AA15" s="395">
        <f>Feed!$B$5*1000/12</f>
        <v>125000</v>
      </c>
      <c r="AB15" s="395">
        <f>Feed!$B$5*1000/12</f>
        <v>125000</v>
      </c>
      <c r="AC15" s="395">
        <f>Feed!$B$5*1000/12</f>
        <v>125000</v>
      </c>
      <c r="AD15" s="395">
        <f>Feed!$B$5*1000/12</f>
        <v>125000</v>
      </c>
      <c r="AE15" s="395">
        <f>Feed!$B$5*1000/12</f>
        <v>125000</v>
      </c>
      <c r="AF15" s="395">
        <f>Feed!$B$5*1000/12</f>
        <v>125000</v>
      </c>
      <c r="AG15" s="395">
        <f>Feed!$B$5*1000/12</f>
        <v>125000</v>
      </c>
      <c r="AH15" s="395">
        <f>Feed!$B$5*1000/12</f>
        <v>125000</v>
      </c>
      <c r="AI15" s="395">
        <f>Feed!$B$5*1000/12</f>
        <v>125000</v>
      </c>
      <c r="AJ15" s="395">
        <f>Feed!$B$5*1000/12</f>
        <v>125000</v>
      </c>
      <c r="AK15" s="395">
        <f>Feed!$B$5*1000/12</f>
        <v>125000</v>
      </c>
      <c r="AL15" s="395">
        <f>Feed!$B$5*1000/12</f>
        <v>125000</v>
      </c>
      <c r="AM15" s="395">
        <f>Feed!$B$5*1000/12</f>
        <v>125000</v>
      </c>
      <c r="AN15" s="395">
        <f>Feed!$B$5*1000/12</f>
        <v>125000</v>
      </c>
      <c r="AO15" s="395">
        <f>Feed!$B$5*1000/12</f>
        <v>125000</v>
      </c>
      <c r="AP15" s="395">
        <f>Feed!$B$5*1000/12</f>
        <v>125000</v>
      </c>
      <c r="AQ15" s="395">
        <f>Feed!$B$5*1000/12</f>
        <v>125000</v>
      </c>
      <c r="AR15" s="395">
        <f>Feed!$B$5*1000/12</f>
        <v>125000</v>
      </c>
      <c r="AS15" s="395">
        <f>Feed!$B$5*1000/12</f>
        <v>125000</v>
      </c>
      <c r="AT15" s="395">
        <f>Feed!$B$5*1000/12</f>
        <v>125000</v>
      </c>
      <c r="AU15" s="395">
        <f>Feed!$B$5*1000/12</f>
        <v>125000</v>
      </c>
      <c r="AV15" s="395">
        <f>Feed!$B$5*1000/12</f>
        <v>125000</v>
      </c>
      <c r="AW15" s="395">
        <f>Feed!$B$5*1000/12</f>
        <v>125000</v>
      </c>
      <c r="AX15" s="395">
        <f>Feed!$B$5*1000/12</f>
        <v>125000</v>
      </c>
      <c r="AY15" s="395">
        <f>Feed!$B$5*1000/12</f>
        <v>125000</v>
      </c>
      <c r="AZ15" s="395">
        <f>Feed!$B$5*1000/12</f>
        <v>125000</v>
      </c>
      <c r="BA15" s="395">
        <f>Feed!$B$5*1000/12</f>
        <v>125000</v>
      </c>
      <c r="BB15" s="395">
        <f>Feed!$B$5*1000/12</f>
        <v>125000</v>
      </c>
      <c r="BC15" s="395">
        <f>Feed!$B$5*1000/12</f>
        <v>125000</v>
      </c>
      <c r="BD15" s="395">
        <f>Feed!$B$5*1000/12</f>
        <v>125000</v>
      </c>
      <c r="BE15" s="395">
        <f>Feed!$B$5*1000/12</f>
        <v>125000</v>
      </c>
      <c r="BF15" s="395">
        <f>Feed!$B$5*1000/12</f>
        <v>125000</v>
      </c>
      <c r="BG15" s="395">
        <f>Feed!$B$5*1000/12</f>
        <v>125000</v>
      </c>
      <c r="BH15" s="395">
        <f>Feed!$B$5*1000/12</f>
        <v>125000</v>
      </c>
      <c r="BI15" s="395">
        <f>Feed!$B$5*1000/12</f>
        <v>125000</v>
      </c>
      <c r="BJ15" s="395">
        <f>Feed!$B$5*1000/12</f>
        <v>125000</v>
      </c>
      <c r="BK15" s="395">
        <f>Feed!$B$5*1000/12</f>
        <v>125000</v>
      </c>
      <c r="BL15" s="395">
        <f>Feed!$B$5*1000/12</f>
        <v>125000</v>
      </c>
      <c r="BM15" s="395">
        <f>Feed!$B$5*1000/12</f>
        <v>125000</v>
      </c>
      <c r="BN15" s="395">
        <f>Feed!$B$5*1000/12</f>
        <v>125000</v>
      </c>
      <c r="BO15" s="395">
        <f>Feed!$B$5*1000/12</f>
        <v>125000</v>
      </c>
      <c r="BP15" s="395">
        <f>Feed!$B$5*1000/12</f>
        <v>125000</v>
      </c>
      <c r="BQ15" s="395">
        <f>Feed!$B$5*1000/12</f>
        <v>125000</v>
      </c>
      <c r="BR15" s="395">
        <f>Feed!$B$5*1000/12</f>
        <v>125000</v>
      </c>
      <c r="BS15" s="395">
        <f>Feed!$B$5*1000/12</f>
        <v>125000</v>
      </c>
      <c r="BT15" s="395">
        <f>Feed!$B$5*1000/12</f>
        <v>125000</v>
      </c>
      <c r="BU15" s="395">
        <f>Feed!$B$5*1000/12</f>
        <v>125000</v>
      </c>
      <c r="BV15" s="395">
        <f>Feed!$B$5*1000/12</f>
        <v>125000</v>
      </c>
      <c r="BW15" s="395">
        <f>Feed!$B$5*1000/12</f>
        <v>125000</v>
      </c>
      <c r="BX15" s="395">
        <f>Feed!$B$5*1000/12</f>
        <v>125000</v>
      </c>
      <c r="BY15" s="395">
        <f>Feed!$B$5*1000/12</f>
        <v>125000</v>
      </c>
      <c r="BZ15" s="395">
        <f>Feed!$B$5*1000/12</f>
        <v>125000</v>
      </c>
      <c r="CA15" s="395">
        <f>Feed!$B$5*1000/12</f>
        <v>125000</v>
      </c>
      <c r="CB15" s="395">
        <f>Feed!$B$5*1000/12</f>
        <v>125000</v>
      </c>
      <c r="CC15" s="395">
        <f>Feed!$B$5*1000/12</f>
        <v>125000</v>
      </c>
      <c r="CD15" s="395">
        <f>Feed!$B$5*1000/12</f>
        <v>125000</v>
      </c>
      <c r="CE15" s="395">
        <f>Feed!$B$5*1000/12</f>
        <v>125000</v>
      </c>
      <c r="CF15" s="395">
        <f>Feed!$B$5*1000/12</f>
        <v>125000</v>
      </c>
      <c r="CG15" s="395">
        <f>Feed!$B$5*1000/12</f>
        <v>125000</v>
      </c>
      <c r="CH15" s="395">
        <f>Feed!$B$5*1000/12</f>
        <v>125000</v>
      </c>
      <c r="CI15" s="395">
        <f>Feed!$B$5*1000/12</f>
        <v>125000</v>
      </c>
      <c r="CJ15" s="395">
        <f>Feed!$B$5*1000/12</f>
        <v>125000</v>
      </c>
      <c r="CK15" s="395">
        <f>Feed!$B$5*1000/12</f>
        <v>125000</v>
      </c>
      <c r="CL15" s="395">
        <f>Feed!$B$5*1000/12</f>
        <v>125000</v>
      </c>
      <c r="CM15" s="395">
        <f>Feed!$B$5*1000/12</f>
        <v>125000</v>
      </c>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c r="EB15" s="58"/>
      <c r="EC15" s="58"/>
      <c r="ED15" s="58"/>
      <c r="EE15" s="58"/>
      <c r="EF15" s="58"/>
      <c r="EG15" s="58"/>
      <c r="EH15" s="58"/>
      <c r="EI15" s="58"/>
      <c r="EJ15" s="58"/>
      <c r="EK15" s="58"/>
      <c r="EL15" s="58"/>
      <c r="EM15" s="58"/>
      <c r="EN15" s="58"/>
      <c r="EO15" s="58"/>
      <c r="EP15" s="58"/>
      <c r="EQ15" s="58"/>
      <c r="ER15" s="58"/>
      <c r="ES15" s="58"/>
      <c r="ET15" s="58"/>
      <c r="EU15" s="58"/>
      <c r="EV15" s="58"/>
      <c r="EW15" s="58"/>
      <c r="EX15" s="58"/>
      <c r="EY15" s="58"/>
      <c r="EZ15" s="58"/>
      <c r="FA15" s="58"/>
      <c r="FB15" s="58"/>
      <c r="FC15" s="58"/>
      <c r="FD15" s="58"/>
      <c r="FE15" s="58"/>
      <c r="FF15" s="58"/>
      <c r="FG15" s="58"/>
      <c r="FH15" s="58"/>
      <c r="FI15" s="58"/>
      <c r="FJ15" s="58"/>
      <c r="FK15" s="58"/>
      <c r="FL15" s="58"/>
      <c r="FM15" s="58"/>
      <c r="FN15" s="58"/>
      <c r="FO15" s="58"/>
      <c r="FP15" s="58"/>
      <c r="FQ15" s="58"/>
      <c r="FR15" s="58"/>
      <c r="FS15" s="58"/>
      <c r="FT15" s="58"/>
      <c r="FU15" s="58"/>
      <c r="FV15" s="58"/>
    </row>
    <row r="16" spans="1:178">
      <c r="A16" s="1067" t="s">
        <v>315</v>
      </c>
      <c r="B16" s="286" t="s">
        <v>312</v>
      </c>
      <c r="C16" s="356" t="s">
        <v>313</v>
      </c>
      <c r="D16" s="356"/>
      <c r="E16" s="1070" t="s">
        <v>316</v>
      </c>
      <c r="F16" s="402" t="s">
        <v>146</v>
      </c>
      <c r="G16" s="403">
        <v>91539.166666666672</v>
      </c>
      <c r="H16" s="403">
        <v>91539.166666666672</v>
      </c>
      <c r="I16" s="403">
        <v>91539.166666666672</v>
      </c>
      <c r="J16" s="403">
        <v>91539.166666666672</v>
      </c>
      <c r="K16" s="403">
        <v>91539.166666666672</v>
      </c>
      <c r="L16" s="403">
        <v>91539.166666666672</v>
      </c>
      <c r="M16" s="403">
        <v>91539.166666666672</v>
      </c>
      <c r="N16" s="403">
        <v>91539.166666666672</v>
      </c>
      <c r="O16" s="403">
        <v>91539.166666666672</v>
      </c>
      <c r="P16" s="403">
        <v>91539.166666666672</v>
      </c>
      <c r="Q16" s="403">
        <v>91539.166666666672</v>
      </c>
      <c r="R16" s="403">
        <v>91539.166666666672</v>
      </c>
      <c r="S16" s="403">
        <v>91539.166666666672</v>
      </c>
      <c r="T16" s="403">
        <v>91539.166666666672</v>
      </c>
      <c r="U16" s="403">
        <v>91539.166666666672</v>
      </c>
      <c r="V16" s="403">
        <v>91539.166666666672</v>
      </c>
      <c r="W16" s="403">
        <v>91539.166666666672</v>
      </c>
      <c r="X16" s="403">
        <v>91539.166666666672</v>
      </c>
      <c r="Y16" s="403">
        <v>91539.166666666672</v>
      </c>
      <c r="Z16" s="403">
        <v>91539.166666666672</v>
      </c>
      <c r="AA16" s="403">
        <v>91539.166666666672</v>
      </c>
      <c r="AB16" s="403">
        <v>91539.166666666672</v>
      </c>
      <c r="AC16" s="403">
        <v>91539.166666666672</v>
      </c>
      <c r="AD16" s="403">
        <v>91539.166666666672</v>
      </c>
      <c r="AE16" s="403">
        <v>91539.166666666672</v>
      </c>
      <c r="AF16" s="403">
        <v>91539.166666666672</v>
      </c>
      <c r="AG16" s="403">
        <v>91539.166666666672</v>
      </c>
      <c r="AH16" s="403">
        <v>91539.166666666672</v>
      </c>
      <c r="AI16" s="403">
        <v>91539.166666666672</v>
      </c>
      <c r="AJ16" s="403">
        <v>91539.166666666672</v>
      </c>
      <c r="AK16" s="403">
        <v>91539.166666666672</v>
      </c>
      <c r="AL16" s="403">
        <v>91539.166666666672</v>
      </c>
      <c r="AM16" s="403">
        <v>91539.166666666672</v>
      </c>
      <c r="AN16" s="403">
        <v>91539.166666666672</v>
      </c>
      <c r="AO16" s="403">
        <v>91539.166666666672</v>
      </c>
      <c r="AP16" s="403">
        <v>91539.166666666672</v>
      </c>
      <c r="AQ16" s="403">
        <v>91539.166666666672</v>
      </c>
      <c r="AR16" s="403">
        <v>91539.166666666672</v>
      </c>
      <c r="AS16" s="403">
        <v>91539.166666666672</v>
      </c>
      <c r="AT16" s="403">
        <v>91539.166666666672</v>
      </c>
      <c r="AU16" s="403">
        <v>91539.166666666672</v>
      </c>
      <c r="AV16" s="403">
        <v>91539.166666666672</v>
      </c>
      <c r="AW16" s="403">
        <v>91539.166666666672</v>
      </c>
      <c r="AX16" s="403">
        <v>91539.166666666672</v>
      </c>
      <c r="AY16" s="403">
        <v>91539.166666666672</v>
      </c>
      <c r="AZ16" s="403">
        <v>91539.166666666672</v>
      </c>
      <c r="BA16" s="403">
        <v>91539.166666666672</v>
      </c>
      <c r="BB16" s="403">
        <v>91539.166666666672</v>
      </c>
      <c r="BC16" s="403">
        <v>91539.166666666672</v>
      </c>
      <c r="BD16" s="403">
        <v>91539.166666666672</v>
      </c>
      <c r="BE16" s="403">
        <v>91539.166666666672</v>
      </c>
      <c r="BF16" s="403">
        <v>91539.166666666672</v>
      </c>
      <c r="BG16" s="403">
        <v>91539.166666666672</v>
      </c>
      <c r="BH16" s="403">
        <v>91539.166666666672</v>
      </c>
      <c r="BI16" s="403">
        <v>91539.166666666672</v>
      </c>
      <c r="BJ16" s="403">
        <v>91539.166666666672</v>
      </c>
      <c r="BK16" s="403">
        <v>91539.166666666672</v>
      </c>
      <c r="BL16" s="403">
        <v>91539.166666666672</v>
      </c>
      <c r="BM16" s="403">
        <v>91539.166666666672</v>
      </c>
      <c r="BN16" s="403">
        <v>91539.166666666672</v>
      </c>
      <c r="BO16" s="403">
        <v>91539.166666666672</v>
      </c>
      <c r="BP16" s="403">
        <v>91539.166666666672</v>
      </c>
      <c r="BQ16" s="403">
        <v>91539.166666666672</v>
      </c>
      <c r="BR16" s="403">
        <v>91539.166666666672</v>
      </c>
      <c r="BS16" s="403">
        <v>91539.166666666672</v>
      </c>
      <c r="BT16" s="403">
        <v>91539.166666666672</v>
      </c>
      <c r="BU16" s="403">
        <v>91539.166666666672</v>
      </c>
      <c r="BV16" s="403">
        <v>91539.166666666672</v>
      </c>
      <c r="BW16" s="403">
        <v>91539.166666666672</v>
      </c>
      <c r="BX16" s="403">
        <v>91539.166666666672</v>
      </c>
      <c r="BY16" s="403">
        <v>91539.166666666672</v>
      </c>
      <c r="BZ16" s="403">
        <v>91539.166666666672</v>
      </c>
      <c r="CA16" s="403">
        <v>91539.166666666672</v>
      </c>
      <c r="CB16" s="403">
        <v>91539.166666666672</v>
      </c>
      <c r="CC16" s="403">
        <v>91539.166666666672</v>
      </c>
      <c r="CD16" s="403">
        <v>91539.166666666672</v>
      </c>
      <c r="CE16" s="403">
        <v>91539.166666666672</v>
      </c>
      <c r="CF16" s="403">
        <v>91539.166666666672</v>
      </c>
      <c r="CG16" s="403">
        <v>91539.166666666672</v>
      </c>
      <c r="CH16" s="403">
        <v>91539.166666666672</v>
      </c>
      <c r="CI16" s="403">
        <v>91539.166666666672</v>
      </c>
      <c r="CJ16" s="403">
        <v>91539.166666666672</v>
      </c>
      <c r="CK16" s="403">
        <v>91539.166666666672</v>
      </c>
      <c r="CL16" s="403">
        <v>91539.166666666672</v>
      </c>
      <c r="CM16" s="403">
        <v>91539.166666666672</v>
      </c>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58"/>
      <c r="EC16" s="58"/>
      <c r="ED16" s="58"/>
      <c r="EE16" s="58"/>
      <c r="EF16" s="58"/>
      <c r="EG16" s="58"/>
      <c r="EH16" s="58"/>
      <c r="EI16" s="58"/>
      <c r="EJ16" s="58"/>
      <c r="EK16" s="58"/>
      <c r="EL16" s="58"/>
      <c r="EM16" s="58"/>
      <c r="EN16" s="58"/>
      <c r="EO16" s="58"/>
      <c r="EP16" s="58"/>
      <c r="EQ16" s="58"/>
      <c r="ER16" s="58"/>
      <c r="ES16" s="58"/>
      <c r="ET16" s="58"/>
      <c r="EU16" s="58"/>
      <c r="EV16" s="58"/>
      <c r="EW16" s="58"/>
      <c r="EX16" s="58"/>
      <c r="EY16" s="58"/>
      <c r="EZ16" s="58"/>
      <c r="FA16" s="58"/>
      <c r="FB16" s="58"/>
      <c r="FC16" s="58"/>
      <c r="FD16" s="58"/>
      <c r="FE16" s="58"/>
      <c r="FF16" s="58"/>
      <c r="FG16" s="58"/>
      <c r="FH16" s="58"/>
      <c r="FI16" s="58"/>
      <c r="FJ16" s="58"/>
      <c r="FK16" s="58"/>
      <c r="FL16" s="58"/>
      <c r="FM16" s="58"/>
      <c r="FN16" s="58"/>
      <c r="FO16" s="58"/>
      <c r="FP16" s="58"/>
      <c r="FQ16" s="58"/>
      <c r="FR16" s="58"/>
      <c r="FS16" s="58"/>
      <c r="FT16" s="58"/>
      <c r="FU16" s="58"/>
      <c r="FV16" s="58"/>
    </row>
    <row r="17" spans="1:178">
      <c r="A17" s="1068"/>
      <c r="B17" s="2" t="s">
        <v>312</v>
      </c>
      <c r="C17" s="362" t="s">
        <v>313</v>
      </c>
      <c r="D17" s="362"/>
      <c r="E17" s="1071"/>
      <c r="F17" s="404" t="s">
        <v>2</v>
      </c>
      <c r="G17" s="405">
        <v>33330.833333333336</v>
      </c>
      <c r="H17" s="405">
        <v>33330.833333333336</v>
      </c>
      <c r="I17" s="405">
        <v>33330.833333333336</v>
      </c>
      <c r="J17" s="405">
        <v>33330.833333333336</v>
      </c>
      <c r="K17" s="405">
        <v>33330.833333333336</v>
      </c>
      <c r="L17" s="405">
        <v>33330.833333333336</v>
      </c>
      <c r="M17" s="405">
        <v>33330.833333333336</v>
      </c>
      <c r="N17" s="405">
        <v>33330.833333333336</v>
      </c>
      <c r="O17" s="405">
        <v>33330.833333333336</v>
      </c>
      <c r="P17" s="405">
        <v>33330.833333333336</v>
      </c>
      <c r="Q17" s="405">
        <v>33330.833333333336</v>
      </c>
      <c r="R17" s="405">
        <v>33330.833333333336</v>
      </c>
      <c r="S17" s="405">
        <v>33330.833333333336</v>
      </c>
      <c r="T17" s="405">
        <v>33330.833333333336</v>
      </c>
      <c r="U17" s="405">
        <v>33330.833333333336</v>
      </c>
      <c r="V17" s="405">
        <v>33330.833333333336</v>
      </c>
      <c r="W17" s="405">
        <v>33330.833333333336</v>
      </c>
      <c r="X17" s="405">
        <v>33330.833333333336</v>
      </c>
      <c r="Y17" s="405">
        <v>33330.833333333336</v>
      </c>
      <c r="Z17" s="405">
        <v>33330.833333333336</v>
      </c>
      <c r="AA17" s="405">
        <v>33330.833333333336</v>
      </c>
      <c r="AB17" s="405">
        <v>33330.833333333336</v>
      </c>
      <c r="AC17" s="405">
        <v>33330.833333333336</v>
      </c>
      <c r="AD17" s="405">
        <v>33330.833333333336</v>
      </c>
      <c r="AE17" s="405">
        <v>33330.833333333336</v>
      </c>
      <c r="AF17" s="405">
        <v>33330.833333333336</v>
      </c>
      <c r="AG17" s="405">
        <v>33330.833333333336</v>
      </c>
      <c r="AH17" s="405">
        <v>33330.833333333336</v>
      </c>
      <c r="AI17" s="405">
        <v>33330.833333333336</v>
      </c>
      <c r="AJ17" s="405">
        <v>33330.833333333336</v>
      </c>
      <c r="AK17" s="405">
        <v>33330.833333333336</v>
      </c>
      <c r="AL17" s="405">
        <v>33330.833333333336</v>
      </c>
      <c r="AM17" s="405">
        <v>33330.833333333336</v>
      </c>
      <c r="AN17" s="405">
        <v>33330.833333333336</v>
      </c>
      <c r="AO17" s="405">
        <v>33330.833333333336</v>
      </c>
      <c r="AP17" s="405">
        <v>33330.833333333336</v>
      </c>
      <c r="AQ17" s="405">
        <v>33330.833333333336</v>
      </c>
      <c r="AR17" s="405">
        <v>33330.833333333336</v>
      </c>
      <c r="AS17" s="405">
        <v>33330.833333333336</v>
      </c>
      <c r="AT17" s="405">
        <v>33330.833333333336</v>
      </c>
      <c r="AU17" s="405">
        <v>33330.833333333336</v>
      </c>
      <c r="AV17" s="405">
        <v>33330.833333333336</v>
      </c>
      <c r="AW17" s="405">
        <v>33330.833333333336</v>
      </c>
      <c r="AX17" s="405">
        <v>33330.833333333336</v>
      </c>
      <c r="AY17" s="405">
        <v>33330.833333333336</v>
      </c>
      <c r="AZ17" s="405">
        <v>33330.833333333336</v>
      </c>
      <c r="BA17" s="405">
        <v>33330.833333333336</v>
      </c>
      <c r="BB17" s="405">
        <v>33330.833333333336</v>
      </c>
      <c r="BC17" s="405">
        <v>33330.833333333336</v>
      </c>
      <c r="BD17" s="405">
        <v>33330.833333333336</v>
      </c>
      <c r="BE17" s="405">
        <v>33330.833333333336</v>
      </c>
      <c r="BF17" s="405">
        <v>33330.833333333336</v>
      </c>
      <c r="BG17" s="405">
        <v>33330.833333333336</v>
      </c>
      <c r="BH17" s="405">
        <v>33330.833333333336</v>
      </c>
      <c r="BI17" s="405">
        <v>33330.833333333336</v>
      </c>
      <c r="BJ17" s="405">
        <v>33330.833333333336</v>
      </c>
      <c r="BK17" s="405">
        <v>33330.833333333336</v>
      </c>
      <c r="BL17" s="405">
        <v>33330.833333333336</v>
      </c>
      <c r="BM17" s="405">
        <v>33330.833333333336</v>
      </c>
      <c r="BN17" s="405">
        <v>33330.833333333336</v>
      </c>
      <c r="BO17" s="405">
        <v>33330.833333333336</v>
      </c>
      <c r="BP17" s="405">
        <v>33330.833333333336</v>
      </c>
      <c r="BQ17" s="405">
        <v>33330.833333333336</v>
      </c>
      <c r="BR17" s="405">
        <v>33330.833333333336</v>
      </c>
      <c r="BS17" s="405">
        <v>33330.833333333336</v>
      </c>
      <c r="BT17" s="405">
        <v>33330.833333333336</v>
      </c>
      <c r="BU17" s="405">
        <v>33330.833333333336</v>
      </c>
      <c r="BV17" s="405">
        <v>33330.833333333336</v>
      </c>
      <c r="BW17" s="405">
        <v>33330.833333333336</v>
      </c>
      <c r="BX17" s="405">
        <v>33330.833333333336</v>
      </c>
      <c r="BY17" s="405">
        <v>33330.833333333336</v>
      </c>
      <c r="BZ17" s="405">
        <v>33330.833333333336</v>
      </c>
      <c r="CA17" s="405">
        <v>33330.833333333336</v>
      </c>
      <c r="CB17" s="405">
        <v>33330.833333333336</v>
      </c>
      <c r="CC17" s="405">
        <v>33330.833333333336</v>
      </c>
      <c r="CD17" s="405">
        <v>33330.833333333336</v>
      </c>
      <c r="CE17" s="405">
        <v>33330.833333333336</v>
      </c>
      <c r="CF17" s="405">
        <v>33330.833333333336</v>
      </c>
      <c r="CG17" s="405">
        <v>33330.833333333336</v>
      </c>
      <c r="CH17" s="405">
        <v>33330.833333333336</v>
      </c>
      <c r="CI17" s="405">
        <v>33330.833333333336</v>
      </c>
      <c r="CJ17" s="405">
        <v>33330.833333333336</v>
      </c>
      <c r="CK17" s="405">
        <v>33330.833333333336</v>
      </c>
      <c r="CL17" s="405">
        <v>33330.833333333336</v>
      </c>
      <c r="CM17" s="405">
        <v>33330.833333333336</v>
      </c>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58"/>
      <c r="EC17" s="58"/>
      <c r="ED17" s="58"/>
      <c r="EE17" s="58"/>
      <c r="EF17" s="58"/>
      <c r="EG17" s="58"/>
      <c r="EH17" s="58"/>
      <c r="EI17" s="58"/>
      <c r="EJ17" s="58"/>
      <c r="EK17" s="58"/>
      <c r="EL17" s="58"/>
      <c r="EM17" s="58"/>
      <c r="EN17" s="58"/>
      <c r="EO17" s="58"/>
      <c r="EP17" s="58"/>
      <c r="EQ17" s="58"/>
      <c r="ER17" s="58"/>
      <c r="ES17" s="58"/>
      <c r="ET17" s="58"/>
      <c r="EU17" s="58"/>
      <c r="EV17" s="58"/>
      <c r="EW17" s="58"/>
      <c r="EX17" s="58"/>
      <c r="EY17" s="58"/>
      <c r="EZ17" s="58"/>
      <c r="FA17" s="58"/>
      <c r="FB17" s="58"/>
      <c r="FC17" s="58"/>
      <c r="FD17" s="58"/>
      <c r="FE17" s="58"/>
      <c r="FF17" s="58"/>
      <c r="FG17" s="58"/>
      <c r="FH17" s="58"/>
      <c r="FI17" s="58"/>
      <c r="FJ17" s="58"/>
      <c r="FK17" s="58"/>
      <c r="FL17" s="58"/>
      <c r="FM17" s="58"/>
      <c r="FN17" s="58"/>
      <c r="FO17" s="58"/>
      <c r="FP17" s="58"/>
      <c r="FQ17" s="58"/>
      <c r="FR17" s="58"/>
      <c r="FS17" s="58"/>
      <c r="FT17" s="58"/>
      <c r="FU17" s="58"/>
      <c r="FV17" s="58"/>
    </row>
    <row r="18" spans="1:178">
      <c r="A18" s="1068"/>
      <c r="B18" s="2" t="s">
        <v>312</v>
      </c>
      <c r="C18" s="362" t="s">
        <v>313</v>
      </c>
      <c r="D18" s="362"/>
      <c r="E18" s="1071"/>
      <c r="F18" s="404" t="str">
        <f>F7</f>
        <v xml:space="preserve">Benzene </v>
      </c>
      <c r="G18" s="405">
        <v>10920.149999999998</v>
      </c>
      <c r="H18" s="405">
        <v>10920.149999999998</v>
      </c>
      <c r="I18" s="405">
        <v>10920.149999999998</v>
      </c>
      <c r="J18" s="405">
        <v>10920.149999999998</v>
      </c>
      <c r="K18" s="405">
        <v>10920.149999999998</v>
      </c>
      <c r="L18" s="405">
        <v>10920.149999999998</v>
      </c>
      <c r="M18" s="405">
        <v>10920.149999999998</v>
      </c>
      <c r="N18" s="405">
        <v>10920.149999999998</v>
      </c>
      <c r="O18" s="405">
        <v>10920.149999999998</v>
      </c>
      <c r="P18" s="405">
        <v>10920.149999999998</v>
      </c>
      <c r="Q18" s="405">
        <v>10920.149999999998</v>
      </c>
      <c r="R18" s="405">
        <v>10920.149999999998</v>
      </c>
      <c r="S18" s="405">
        <v>10920.149999999998</v>
      </c>
      <c r="T18" s="405">
        <v>10920.149999999998</v>
      </c>
      <c r="U18" s="405">
        <v>10920.149999999998</v>
      </c>
      <c r="V18" s="405">
        <v>10920.149999999998</v>
      </c>
      <c r="W18" s="405">
        <v>10920.149999999998</v>
      </c>
      <c r="X18" s="405">
        <v>10920.149999999998</v>
      </c>
      <c r="Y18" s="405">
        <v>10920.149999999998</v>
      </c>
      <c r="Z18" s="405">
        <v>10920.149999999998</v>
      </c>
      <c r="AA18" s="405">
        <v>10920.149999999998</v>
      </c>
      <c r="AB18" s="405">
        <v>10920.149999999998</v>
      </c>
      <c r="AC18" s="405">
        <v>10920.149999999998</v>
      </c>
      <c r="AD18" s="405">
        <v>10920.149999999998</v>
      </c>
      <c r="AE18" s="405">
        <v>10920.149999999998</v>
      </c>
      <c r="AF18" s="405">
        <v>10920.149999999998</v>
      </c>
      <c r="AG18" s="405">
        <v>10920.149999999998</v>
      </c>
      <c r="AH18" s="405">
        <v>10920.149999999998</v>
      </c>
      <c r="AI18" s="405">
        <v>10920.149999999998</v>
      </c>
      <c r="AJ18" s="405">
        <v>10920.149999999998</v>
      </c>
      <c r="AK18" s="405">
        <v>10920.149999999998</v>
      </c>
      <c r="AL18" s="405">
        <v>10920.149999999998</v>
      </c>
      <c r="AM18" s="405">
        <v>10920.149999999998</v>
      </c>
      <c r="AN18" s="405">
        <v>10920.149999999998</v>
      </c>
      <c r="AO18" s="405">
        <v>10920.149999999998</v>
      </c>
      <c r="AP18" s="405">
        <v>10920.149999999998</v>
      </c>
      <c r="AQ18" s="405">
        <v>10920.149999999998</v>
      </c>
      <c r="AR18" s="405">
        <v>10920.149999999998</v>
      </c>
      <c r="AS18" s="405">
        <v>10920.149999999998</v>
      </c>
      <c r="AT18" s="405">
        <v>10920.149999999998</v>
      </c>
      <c r="AU18" s="405">
        <v>10920.149999999998</v>
      </c>
      <c r="AV18" s="405">
        <v>10920.149999999998</v>
      </c>
      <c r="AW18" s="405">
        <v>10920.149999999998</v>
      </c>
      <c r="AX18" s="405">
        <v>10920.149999999998</v>
      </c>
      <c r="AY18" s="405">
        <v>10920.149999999998</v>
      </c>
      <c r="AZ18" s="405">
        <v>10920.149999999998</v>
      </c>
      <c r="BA18" s="405">
        <v>10920.149999999998</v>
      </c>
      <c r="BB18" s="405">
        <v>10920.149999999998</v>
      </c>
      <c r="BC18" s="405">
        <v>10920.149999999998</v>
      </c>
      <c r="BD18" s="405">
        <v>10920.149999999998</v>
      </c>
      <c r="BE18" s="405">
        <v>10920.149999999998</v>
      </c>
      <c r="BF18" s="405">
        <v>10920.149999999998</v>
      </c>
      <c r="BG18" s="405">
        <v>10920.149999999998</v>
      </c>
      <c r="BH18" s="405">
        <v>10920.149999999998</v>
      </c>
      <c r="BI18" s="405">
        <v>10920.149999999998</v>
      </c>
      <c r="BJ18" s="405">
        <v>10920.149999999998</v>
      </c>
      <c r="BK18" s="405">
        <v>10920.149999999998</v>
      </c>
      <c r="BL18" s="405">
        <v>10920.149999999998</v>
      </c>
      <c r="BM18" s="405">
        <v>10920.149999999998</v>
      </c>
      <c r="BN18" s="405">
        <v>10920.149999999998</v>
      </c>
      <c r="BO18" s="405">
        <v>10920.149999999998</v>
      </c>
      <c r="BP18" s="405">
        <v>10920.149999999998</v>
      </c>
      <c r="BQ18" s="405">
        <v>10920.149999999998</v>
      </c>
      <c r="BR18" s="405">
        <v>10920.149999999998</v>
      </c>
      <c r="BS18" s="405">
        <v>10920.149999999998</v>
      </c>
      <c r="BT18" s="405">
        <v>10920.149999999998</v>
      </c>
      <c r="BU18" s="405">
        <v>10920.149999999998</v>
      </c>
      <c r="BV18" s="405">
        <v>10920.149999999998</v>
      </c>
      <c r="BW18" s="405">
        <v>10920.149999999998</v>
      </c>
      <c r="BX18" s="405">
        <v>10920.149999999998</v>
      </c>
      <c r="BY18" s="405">
        <v>10920.149999999998</v>
      </c>
      <c r="BZ18" s="405">
        <v>10920.149999999998</v>
      </c>
      <c r="CA18" s="405">
        <v>10920.149999999998</v>
      </c>
      <c r="CB18" s="405">
        <v>10920.149999999998</v>
      </c>
      <c r="CC18" s="405">
        <v>10920.149999999998</v>
      </c>
      <c r="CD18" s="405">
        <v>10920.149999999998</v>
      </c>
      <c r="CE18" s="405">
        <v>10920.149999999998</v>
      </c>
      <c r="CF18" s="405">
        <v>10920.149999999998</v>
      </c>
      <c r="CG18" s="405">
        <v>10920.149999999998</v>
      </c>
      <c r="CH18" s="405">
        <v>10920.149999999998</v>
      </c>
      <c r="CI18" s="405">
        <v>10920.149999999998</v>
      </c>
      <c r="CJ18" s="405">
        <v>10920.149999999998</v>
      </c>
      <c r="CK18" s="405">
        <v>10920.149999999998</v>
      </c>
      <c r="CL18" s="405">
        <v>10920.149999999998</v>
      </c>
      <c r="CM18" s="405">
        <v>10920.149999999998</v>
      </c>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c r="EB18" s="58"/>
      <c r="EC18" s="58"/>
      <c r="ED18" s="58"/>
      <c r="EE18" s="58"/>
      <c r="EF18" s="58"/>
      <c r="EG18" s="58"/>
      <c r="EH18" s="58"/>
      <c r="EI18" s="58"/>
      <c r="EJ18" s="58"/>
      <c r="EK18" s="58"/>
      <c r="EL18" s="58"/>
      <c r="EM18" s="58"/>
      <c r="EN18" s="58"/>
      <c r="EO18" s="58"/>
      <c r="EP18" s="58"/>
      <c r="EQ18" s="58"/>
      <c r="ER18" s="58"/>
      <c r="ES18" s="58"/>
      <c r="ET18" s="58"/>
      <c r="EU18" s="58"/>
      <c r="EV18" s="58"/>
      <c r="EW18" s="58"/>
      <c r="EX18" s="58"/>
      <c r="EY18" s="58"/>
      <c r="EZ18" s="58"/>
      <c r="FA18" s="58"/>
      <c r="FB18" s="58"/>
      <c r="FC18" s="58"/>
      <c r="FD18" s="58"/>
      <c r="FE18" s="58"/>
      <c r="FF18" s="58"/>
      <c r="FG18" s="58"/>
      <c r="FH18" s="58"/>
      <c r="FI18" s="58"/>
      <c r="FJ18" s="58"/>
      <c r="FK18" s="58"/>
      <c r="FL18" s="58"/>
      <c r="FM18" s="58"/>
      <c r="FN18" s="58"/>
      <c r="FO18" s="58"/>
      <c r="FP18" s="58"/>
      <c r="FQ18" s="58"/>
      <c r="FR18" s="58"/>
      <c r="FS18" s="58"/>
      <c r="FT18" s="58"/>
      <c r="FU18" s="58"/>
      <c r="FV18" s="58"/>
    </row>
    <row r="19" spans="1:178">
      <c r="A19" s="1068"/>
      <c r="B19" s="2" t="s">
        <v>312</v>
      </c>
      <c r="C19" s="362" t="s">
        <v>313</v>
      </c>
      <c r="D19" s="362"/>
      <c r="E19" s="1071"/>
      <c r="F19" s="404" t="str">
        <f>F8</f>
        <v xml:space="preserve"> 1,3 Butadiene </v>
      </c>
      <c r="G19" s="405">
        <v>10338.423458333333</v>
      </c>
      <c r="H19" s="405">
        <v>10338.423458333333</v>
      </c>
      <c r="I19" s="405">
        <v>10338.423458333333</v>
      </c>
      <c r="J19" s="405">
        <v>10338.423458333333</v>
      </c>
      <c r="K19" s="405">
        <v>10338.423458333333</v>
      </c>
      <c r="L19" s="405">
        <v>10338.423458333333</v>
      </c>
      <c r="M19" s="405">
        <v>10338.423458333333</v>
      </c>
      <c r="N19" s="405">
        <v>10338.423458333333</v>
      </c>
      <c r="O19" s="405">
        <v>10338.423458333333</v>
      </c>
      <c r="P19" s="405">
        <v>10338.423458333333</v>
      </c>
      <c r="Q19" s="405">
        <v>10338.423458333333</v>
      </c>
      <c r="R19" s="405">
        <v>10338.423458333333</v>
      </c>
      <c r="S19" s="405">
        <v>10338.423458333333</v>
      </c>
      <c r="T19" s="405">
        <v>10338.423458333333</v>
      </c>
      <c r="U19" s="405">
        <v>10338.423458333333</v>
      </c>
      <c r="V19" s="405">
        <v>10338.423458333333</v>
      </c>
      <c r="W19" s="405">
        <v>10338.423458333333</v>
      </c>
      <c r="X19" s="405">
        <v>10338.423458333333</v>
      </c>
      <c r="Y19" s="405">
        <v>10338.423458333333</v>
      </c>
      <c r="Z19" s="405">
        <v>10338.423458333333</v>
      </c>
      <c r="AA19" s="405">
        <v>10338.423458333333</v>
      </c>
      <c r="AB19" s="405">
        <v>10338.423458333333</v>
      </c>
      <c r="AC19" s="405">
        <v>10338.423458333333</v>
      </c>
      <c r="AD19" s="405">
        <v>10338.423458333333</v>
      </c>
      <c r="AE19" s="405">
        <v>10338.423458333333</v>
      </c>
      <c r="AF19" s="405">
        <v>10338.423458333333</v>
      </c>
      <c r="AG19" s="405">
        <v>10338.423458333333</v>
      </c>
      <c r="AH19" s="405">
        <v>10338.423458333333</v>
      </c>
      <c r="AI19" s="405">
        <v>10338.423458333333</v>
      </c>
      <c r="AJ19" s="405">
        <v>10338.423458333333</v>
      </c>
      <c r="AK19" s="405">
        <v>10338.423458333333</v>
      </c>
      <c r="AL19" s="405">
        <v>10338.423458333333</v>
      </c>
      <c r="AM19" s="405">
        <v>10338.423458333333</v>
      </c>
      <c r="AN19" s="405">
        <v>10338.423458333333</v>
      </c>
      <c r="AO19" s="405">
        <v>10338.423458333333</v>
      </c>
      <c r="AP19" s="405">
        <v>10338.423458333333</v>
      </c>
      <c r="AQ19" s="405">
        <v>10338.423458333333</v>
      </c>
      <c r="AR19" s="405">
        <v>10338.423458333333</v>
      </c>
      <c r="AS19" s="405">
        <v>10338.423458333333</v>
      </c>
      <c r="AT19" s="405">
        <v>10338.423458333333</v>
      </c>
      <c r="AU19" s="405">
        <v>10338.423458333333</v>
      </c>
      <c r="AV19" s="405">
        <v>10338.423458333333</v>
      </c>
      <c r="AW19" s="405">
        <v>10338.423458333333</v>
      </c>
      <c r="AX19" s="405">
        <v>10338.423458333333</v>
      </c>
      <c r="AY19" s="405">
        <v>10338.423458333333</v>
      </c>
      <c r="AZ19" s="405">
        <v>10338.423458333333</v>
      </c>
      <c r="BA19" s="405">
        <v>10338.423458333333</v>
      </c>
      <c r="BB19" s="405">
        <v>10338.423458333333</v>
      </c>
      <c r="BC19" s="405">
        <v>10338.423458333333</v>
      </c>
      <c r="BD19" s="405">
        <v>10338.423458333333</v>
      </c>
      <c r="BE19" s="405">
        <v>10338.423458333333</v>
      </c>
      <c r="BF19" s="405">
        <v>10338.423458333333</v>
      </c>
      <c r="BG19" s="405">
        <v>10338.423458333333</v>
      </c>
      <c r="BH19" s="405">
        <v>10338.423458333333</v>
      </c>
      <c r="BI19" s="405">
        <v>10338.423458333333</v>
      </c>
      <c r="BJ19" s="405">
        <v>10338.423458333333</v>
      </c>
      <c r="BK19" s="405">
        <v>10338.423458333333</v>
      </c>
      <c r="BL19" s="405">
        <v>10338.423458333333</v>
      </c>
      <c r="BM19" s="405">
        <v>10338.423458333333</v>
      </c>
      <c r="BN19" s="405">
        <v>10338.423458333333</v>
      </c>
      <c r="BO19" s="405">
        <v>10338.423458333333</v>
      </c>
      <c r="BP19" s="405">
        <v>10338.423458333333</v>
      </c>
      <c r="BQ19" s="405">
        <v>10338.423458333333</v>
      </c>
      <c r="BR19" s="405">
        <v>10338.423458333333</v>
      </c>
      <c r="BS19" s="405">
        <v>10338.423458333333</v>
      </c>
      <c r="BT19" s="405">
        <v>10338.423458333333</v>
      </c>
      <c r="BU19" s="405">
        <v>10338.423458333333</v>
      </c>
      <c r="BV19" s="405">
        <v>10338.423458333333</v>
      </c>
      <c r="BW19" s="405">
        <v>10338.423458333333</v>
      </c>
      <c r="BX19" s="405">
        <v>10338.423458333333</v>
      </c>
      <c r="BY19" s="405">
        <v>10338.423458333333</v>
      </c>
      <c r="BZ19" s="405">
        <v>10338.423458333333</v>
      </c>
      <c r="CA19" s="405">
        <v>10338.423458333333</v>
      </c>
      <c r="CB19" s="405">
        <v>10338.423458333333</v>
      </c>
      <c r="CC19" s="405">
        <v>10338.423458333333</v>
      </c>
      <c r="CD19" s="405">
        <v>10338.423458333333</v>
      </c>
      <c r="CE19" s="405">
        <v>10338.423458333333</v>
      </c>
      <c r="CF19" s="405">
        <v>10338.423458333333</v>
      </c>
      <c r="CG19" s="405">
        <v>10338.423458333333</v>
      </c>
      <c r="CH19" s="405">
        <v>10338.423458333333</v>
      </c>
      <c r="CI19" s="405">
        <v>10338.423458333333</v>
      </c>
      <c r="CJ19" s="405">
        <v>10338.423458333333</v>
      </c>
      <c r="CK19" s="405">
        <v>10338.423458333333</v>
      </c>
      <c r="CL19" s="405">
        <v>10338.423458333333</v>
      </c>
      <c r="CM19" s="405">
        <v>10338.423458333333</v>
      </c>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c r="EB19" s="58"/>
      <c r="EC19" s="58"/>
      <c r="ED19" s="58"/>
      <c r="EE19" s="58"/>
      <c r="EF19" s="58"/>
      <c r="EG19" s="58"/>
      <c r="EH19" s="58"/>
      <c r="EI19" s="58"/>
      <c r="EJ19" s="58"/>
      <c r="EK19" s="58"/>
      <c r="EL19" s="58"/>
      <c r="EM19" s="58"/>
      <c r="EN19" s="58"/>
      <c r="EO19" s="58"/>
      <c r="EP19" s="58"/>
      <c r="EQ19" s="58"/>
      <c r="ER19" s="58"/>
      <c r="ES19" s="58"/>
      <c r="ET19" s="58"/>
      <c r="EU19" s="58"/>
      <c r="EV19" s="58"/>
      <c r="EW19" s="58"/>
      <c r="EX19" s="58"/>
      <c r="EY19" s="58"/>
      <c r="EZ19" s="58"/>
      <c r="FA19" s="58"/>
      <c r="FB19" s="58"/>
      <c r="FC19" s="58"/>
      <c r="FD19" s="58"/>
      <c r="FE19" s="58"/>
      <c r="FF19" s="58"/>
      <c r="FG19" s="58"/>
      <c r="FH19" s="58"/>
      <c r="FI19" s="58"/>
      <c r="FJ19" s="58"/>
      <c r="FK19" s="58"/>
      <c r="FL19" s="58"/>
      <c r="FM19" s="58"/>
      <c r="FN19" s="58"/>
      <c r="FO19" s="58"/>
      <c r="FP19" s="58"/>
      <c r="FQ19" s="58"/>
      <c r="FR19" s="58"/>
      <c r="FS19" s="58"/>
      <c r="FT19" s="58"/>
      <c r="FU19" s="58"/>
      <c r="FV19" s="58"/>
    </row>
    <row r="20" spans="1:178">
      <c r="A20" s="1068"/>
      <c r="B20" s="2" t="s">
        <v>312</v>
      </c>
      <c r="C20" s="362" t="s">
        <v>313</v>
      </c>
      <c r="D20" s="362"/>
      <c r="E20" s="1071"/>
      <c r="F20" s="404" t="str">
        <f>F9</f>
        <v xml:space="preserve"> Hydrogenated Pygas (HPG) </v>
      </c>
      <c r="G20" s="405">
        <v>12285</v>
      </c>
      <c r="H20" s="405">
        <v>12285</v>
      </c>
      <c r="I20" s="405">
        <v>12285</v>
      </c>
      <c r="J20" s="405">
        <v>12285</v>
      </c>
      <c r="K20" s="405">
        <v>12285</v>
      </c>
      <c r="L20" s="405">
        <v>12285</v>
      </c>
      <c r="M20" s="405">
        <v>12285</v>
      </c>
      <c r="N20" s="405">
        <v>12285</v>
      </c>
      <c r="O20" s="405">
        <v>12285</v>
      </c>
      <c r="P20" s="405">
        <v>12285</v>
      </c>
      <c r="Q20" s="405">
        <v>12285</v>
      </c>
      <c r="R20" s="405">
        <v>12285</v>
      </c>
      <c r="S20" s="405">
        <v>12285</v>
      </c>
      <c r="T20" s="405">
        <v>12285</v>
      </c>
      <c r="U20" s="405">
        <v>12285</v>
      </c>
      <c r="V20" s="405">
        <v>12285</v>
      </c>
      <c r="W20" s="405">
        <v>12285</v>
      </c>
      <c r="X20" s="405">
        <v>12285</v>
      </c>
      <c r="Y20" s="405">
        <v>12285</v>
      </c>
      <c r="Z20" s="405">
        <v>12285</v>
      </c>
      <c r="AA20" s="405">
        <v>12285</v>
      </c>
      <c r="AB20" s="405">
        <v>12285</v>
      </c>
      <c r="AC20" s="405">
        <v>12285</v>
      </c>
      <c r="AD20" s="405">
        <v>12285</v>
      </c>
      <c r="AE20" s="405">
        <v>12285</v>
      </c>
      <c r="AF20" s="405">
        <v>12285</v>
      </c>
      <c r="AG20" s="405">
        <v>12285</v>
      </c>
      <c r="AH20" s="405">
        <v>12285</v>
      </c>
      <c r="AI20" s="405">
        <v>12285</v>
      </c>
      <c r="AJ20" s="405">
        <v>12285</v>
      </c>
      <c r="AK20" s="405">
        <v>12285</v>
      </c>
      <c r="AL20" s="405">
        <v>12285</v>
      </c>
      <c r="AM20" s="405">
        <v>12285</v>
      </c>
      <c r="AN20" s="405">
        <v>12285</v>
      </c>
      <c r="AO20" s="405">
        <v>12285</v>
      </c>
      <c r="AP20" s="405">
        <v>12285</v>
      </c>
      <c r="AQ20" s="405">
        <v>12285</v>
      </c>
      <c r="AR20" s="405">
        <v>12285</v>
      </c>
      <c r="AS20" s="405">
        <v>12285</v>
      </c>
      <c r="AT20" s="405">
        <v>12285</v>
      </c>
      <c r="AU20" s="405">
        <v>12285</v>
      </c>
      <c r="AV20" s="405">
        <v>12285</v>
      </c>
      <c r="AW20" s="405">
        <v>12285</v>
      </c>
      <c r="AX20" s="405">
        <v>12285</v>
      </c>
      <c r="AY20" s="405">
        <v>12285</v>
      </c>
      <c r="AZ20" s="405">
        <v>12285</v>
      </c>
      <c r="BA20" s="405">
        <v>12285</v>
      </c>
      <c r="BB20" s="405">
        <v>12285</v>
      </c>
      <c r="BC20" s="405">
        <v>12285</v>
      </c>
      <c r="BD20" s="405">
        <v>12285</v>
      </c>
      <c r="BE20" s="405">
        <v>12285</v>
      </c>
      <c r="BF20" s="405">
        <v>12285</v>
      </c>
      <c r="BG20" s="405">
        <v>12285</v>
      </c>
      <c r="BH20" s="405">
        <v>12285</v>
      </c>
      <c r="BI20" s="405">
        <v>12285</v>
      </c>
      <c r="BJ20" s="405">
        <v>12285</v>
      </c>
      <c r="BK20" s="405">
        <v>12285</v>
      </c>
      <c r="BL20" s="405">
        <v>12285</v>
      </c>
      <c r="BM20" s="405">
        <v>12285</v>
      </c>
      <c r="BN20" s="405">
        <v>12285</v>
      </c>
      <c r="BO20" s="405">
        <v>12285</v>
      </c>
      <c r="BP20" s="405">
        <v>12285</v>
      </c>
      <c r="BQ20" s="405">
        <v>12285</v>
      </c>
      <c r="BR20" s="405">
        <v>12285</v>
      </c>
      <c r="BS20" s="405">
        <v>12285</v>
      </c>
      <c r="BT20" s="405">
        <v>12285</v>
      </c>
      <c r="BU20" s="405">
        <v>12285</v>
      </c>
      <c r="BV20" s="405">
        <v>12285</v>
      </c>
      <c r="BW20" s="405">
        <v>12285</v>
      </c>
      <c r="BX20" s="405">
        <v>12285</v>
      </c>
      <c r="BY20" s="405">
        <v>12285</v>
      </c>
      <c r="BZ20" s="405">
        <v>12285</v>
      </c>
      <c r="CA20" s="405">
        <v>12285</v>
      </c>
      <c r="CB20" s="405">
        <v>12285</v>
      </c>
      <c r="CC20" s="405">
        <v>12285</v>
      </c>
      <c r="CD20" s="405">
        <v>12285</v>
      </c>
      <c r="CE20" s="405">
        <v>12285</v>
      </c>
      <c r="CF20" s="405">
        <v>12285</v>
      </c>
      <c r="CG20" s="405">
        <v>12285</v>
      </c>
      <c r="CH20" s="405">
        <v>12285</v>
      </c>
      <c r="CI20" s="405">
        <v>12285</v>
      </c>
      <c r="CJ20" s="405">
        <v>12285</v>
      </c>
      <c r="CK20" s="405">
        <v>12285</v>
      </c>
      <c r="CL20" s="405">
        <v>12285</v>
      </c>
      <c r="CM20" s="405">
        <v>12285</v>
      </c>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8"/>
      <c r="DY20" s="58"/>
      <c r="DZ20" s="58"/>
      <c r="EA20" s="58"/>
      <c r="EB20" s="58"/>
      <c r="EC20" s="58"/>
      <c r="ED20" s="58"/>
      <c r="EE20" s="58"/>
      <c r="EF20" s="58"/>
      <c r="EG20" s="58"/>
      <c r="EH20" s="58"/>
      <c r="EI20" s="58"/>
      <c r="EJ20" s="58"/>
      <c r="EK20" s="58"/>
      <c r="EL20" s="58"/>
      <c r="EM20" s="58"/>
      <c r="EN20" s="58"/>
      <c r="EO20" s="58"/>
      <c r="EP20" s="58"/>
      <c r="EQ20" s="58"/>
      <c r="ER20" s="58"/>
      <c r="ES20" s="58"/>
      <c r="ET20" s="58"/>
      <c r="EU20" s="58"/>
      <c r="EV20" s="58"/>
      <c r="EW20" s="58"/>
      <c r="EX20" s="58"/>
      <c r="EY20" s="58"/>
      <c r="EZ20" s="58"/>
      <c r="FA20" s="58"/>
      <c r="FB20" s="58"/>
      <c r="FC20" s="58"/>
      <c r="FD20" s="58"/>
      <c r="FE20" s="58"/>
      <c r="FF20" s="58"/>
      <c r="FG20" s="58"/>
      <c r="FH20" s="58"/>
      <c r="FI20" s="58"/>
      <c r="FJ20" s="58"/>
      <c r="FK20" s="58"/>
      <c r="FL20" s="58"/>
      <c r="FM20" s="58"/>
      <c r="FN20" s="58"/>
      <c r="FO20" s="58"/>
      <c r="FP20" s="58"/>
      <c r="FQ20" s="58"/>
      <c r="FR20" s="58"/>
      <c r="FS20" s="58"/>
      <c r="FT20" s="58"/>
      <c r="FU20" s="58"/>
      <c r="FV20" s="58"/>
    </row>
    <row r="21" spans="1:178">
      <c r="A21" s="1068"/>
      <c r="B21" s="2" t="s">
        <v>312</v>
      </c>
      <c r="C21" s="362" t="s">
        <v>313</v>
      </c>
      <c r="D21" s="362"/>
      <c r="E21" s="1071"/>
      <c r="F21" s="404" t="str">
        <f>F10</f>
        <v xml:space="preserve"> CBFS </v>
      </c>
      <c r="G21" s="405">
        <f>4945.25</f>
        <v>4945.25</v>
      </c>
      <c r="H21" s="405">
        <f t="shared" ref="H21:BS21" si="1">4945.25</f>
        <v>4945.25</v>
      </c>
      <c r="I21" s="405">
        <f t="shared" si="1"/>
        <v>4945.25</v>
      </c>
      <c r="J21" s="405">
        <f t="shared" si="1"/>
        <v>4945.25</v>
      </c>
      <c r="K21" s="405">
        <f t="shared" si="1"/>
        <v>4945.25</v>
      </c>
      <c r="L21" s="405">
        <f t="shared" si="1"/>
        <v>4945.25</v>
      </c>
      <c r="M21" s="405">
        <f t="shared" si="1"/>
        <v>4945.25</v>
      </c>
      <c r="N21" s="405">
        <f t="shared" si="1"/>
        <v>4945.25</v>
      </c>
      <c r="O21" s="405">
        <f t="shared" si="1"/>
        <v>4945.25</v>
      </c>
      <c r="P21" s="405">
        <f t="shared" si="1"/>
        <v>4945.25</v>
      </c>
      <c r="Q21" s="405">
        <f t="shared" si="1"/>
        <v>4945.25</v>
      </c>
      <c r="R21" s="405">
        <f t="shared" si="1"/>
        <v>4945.25</v>
      </c>
      <c r="S21" s="405">
        <f t="shared" si="1"/>
        <v>4945.25</v>
      </c>
      <c r="T21" s="405">
        <f t="shared" si="1"/>
        <v>4945.25</v>
      </c>
      <c r="U21" s="405">
        <f t="shared" si="1"/>
        <v>4945.25</v>
      </c>
      <c r="V21" s="405">
        <f t="shared" si="1"/>
        <v>4945.25</v>
      </c>
      <c r="W21" s="405">
        <f t="shared" si="1"/>
        <v>4945.25</v>
      </c>
      <c r="X21" s="405">
        <f t="shared" si="1"/>
        <v>4945.25</v>
      </c>
      <c r="Y21" s="405">
        <f t="shared" si="1"/>
        <v>4945.25</v>
      </c>
      <c r="Z21" s="405">
        <f t="shared" si="1"/>
        <v>4945.25</v>
      </c>
      <c r="AA21" s="405">
        <f t="shared" si="1"/>
        <v>4945.25</v>
      </c>
      <c r="AB21" s="405">
        <f t="shared" si="1"/>
        <v>4945.25</v>
      </c>
      <c r="AC21" s="405">
        <f t="shared" si="1"/>
        <v>4945.25</v>
      </c>
      <c r="AD21" s="405">
        <f t="shared" si="1"/>
        <v>4945.25</v>
      </c>
      <c r="AE21" s="405">
        <f t="shared" si="1"/>
        <v>4945.25</v>
      </c>
      <c r="AF21" s="405">
        <f t="shared" si="1"/>
        <v>4945.25</v>
      </c>
      <c r="AG21" s="405">
        <f t="shared" si="1"/>
        <v>4945.25</v>
      </c>
      <c r="AH21" s="405">
        <f t="shared" si="1"/>
        <v>4945.25</v>
      </c>
      <c r="AI21" s="405">
        <f t="shared" si="1"/>
        <v>4945.25</v>
      </c>
      <c r="AJ21" s="405">
        <f t="shared" si="1"/>
        <v>4945.25</v>
      </c>
      <c r="AK21" s="405">
        <f t="shared" si="1"/>
        <v>4945.25</v>
      </c>
      <c r="AL21" s="405">
        <f t="shared" si="1"/>
        <v>4945.25</v>
      </c>
      <c r="AM21" s="405">
        <f t="shared" si="1"/>
        <v>4945.25</v>
      </c>
      <c r="AN21" s="405">
        <f t="shared" si="1"/>
        <v>4945.25</v>
      </c>
      <c r="AO21" s="405">
        <f t="shared" si="1"/>
        <v>4945.25</v>
      </c>
      <c r="AP21" s="405">
        <f t="shared" si="1"/>
        <v>4945.25</v>
      </c>
      <c r="AQ21" s="405">
        <f t="shared" si="1"/>
        <v>4945.25</v>
      </c>
      <c r="AR21" s="405">
        <f t="shared" si="1"/>
        <v>4945.25</v>
      </c>
      <c r="AS21" s="405">
        <f t="shared" si="1"/>
        <v>4945.25</v>
      </c>
      <c r="AT21" s="405">
        <f t="shared" si="1"/>
        <v>4945.25</v>
      </c>
      <c r="AU21" s="405">
        <f t="shared" si="1"/>
        <v>4945.25</v>
      </c>
      <c r="AV21" s="405">
        <f t="shared" si="1"/>
        <v>4945.25</v>
      </c>
      <c r="AW21" s="405">
        <f t="shared" si="1"/>
        <v>4945.25</v>
      </c>
      <c r="AX21" s="405">
        <f t="shared" si="1"/>
        <v>4945.25</v>
      </c>
      <c r="AY21" s="405">
        <f t="shared" si="1"/>
        <v>4945.25</v>
      </c>
      <c r="AZ21" s="405">
        <f t="shared" si="1"/>
        <v>4945.25</v>
      </c>
      <c r="BA21" s="405">
        <f t="shared" si="1"/>
        <v>4945.25</v>
      </c>
      <c r="BB21" s="405">
        <f t="shared" si="1"/>
        <v>4945.25</v>
      </c>
      <c r="BC21" s="405">
        <f t="shared" si="1"/>
        <v>4945.25</v>
      </c>
      <c r="BD21" s="405">
        <f t="shared" si="1"/>
        <v>4945.25</v>
      </c>
      <c r="BE21" s="405">
        <f t="shared" si="1"/>
        <v>4945.25</v>
      </c>
      <c r="BF21" s="405">
        <f t="shared" si="1"/>
        <v>4945.25</v>
      </c>
      <c r="BG21" s="405">
        <f t="shared" si="1"/>
        <v>4945.25</v>
      </c>
      <c r="BH21" s="405">
        <f t="shared" si="1"/>
        <v>4945.25</v>
      </c>
      <c r="BI21" s="405">
        <f t="shared" si="1"/>
        <v>4945.25</v>
      </c>
      <c r="BJ21" s="405">
        <f t="shared" si="1"/>
        <v>4945.25</v>
      </c>
      <c r="BK21" s="405">
        <f t="shared" si="1"/>
        <v>4945.25</v>
      </c>
      <c r="BL21" s="405">
        <f t="shared" si="1"/>
        <v>4945.25</v>
      </c>
      <c r="BM21" s="405">
        <f t="shared" si="1"/>
        <v>4945.25</v>
      </c>
      <c r="BN21" s="405">
        <f t="shared" si="1"/>
        <v>4945.25</v>
      </c>
      <c r="BO21" s="405">
        <f t="shared" si="1"/>
        <v>4945.25</v>
      </c>
      <c r="BP21" s="405">
        <f t="shared" si="1"/>
        <v>4945.25</v>
      </c>
      <c r="BQ21" s="405">
        <f t="shared" si="1"/>
        <v>4945.25</v>
      </c>
      <c r="BR21" s="405">
        <f t="shared" si="1"/>
        <v>4945.25</v>
      </c>
      <c r="BS21" s="405">
        <f t="shared" si="1"/>
        <v>4945.25</v>
      </c>
      <c r="BT21" s="405">
        <f t="shared" ref="BT21:CM21" si="2">4945.25</f>
        <v>4945.25</v>
      </c>
      <c r="BU21" s="405">
        <f t="shared" si="2"/>
        <v>4945.25</v>
      </c>
      <c r="BV21" s="405">
        <f t="shared" si="2"/>
        <v>4945.25</v>
      </c>
      <c r="BW21" s="405">
        <f t="shared" si="2"/>
        <v>4945.25</v>
      </c>
      <c r="BX21" s="405">
        <f t="shared" si="2"/>
        <v>4945.25</v>
      </c>
      <c r="BY21" s="405">
        <f t="shared" si="2"/>
        <v>4945.25</v>
      </c>
      <c r="BZ21" s="405">
        <f t="shared" si="2"/>
        <v>4945.25</v>
      </c>
      <c r="CA21" s="405">
        <f t="shared" si="2"/>
        <v>4945.25</v>
      </c>
      <c r="CB21" s="405">
        <f t="shared" si="2"/>
        <v>4945.25</v>
      </c>
      <c r="CC21" s="405">
        <f t="shared" si="2"/>
        <v>4945.25</v>
      </c>
      <c r="CD21" s="405">
        <f t="shared" si="2"/>
        <v>4945.25</v>
      </c>
      <c r="CE21" s="405">
        <f t="shared" si="2"/>
        <v>4945.25</v>
      </c>
      <c r="CF21" s="405">
        <f t="shared" si="2"/>
        <v>4945.25</v>
      </c>
      <c r="CG21" s="405">
        <f t="shared" si="2"/>
        <v>4945.25</v>
      </c>
      <c r="CH21" s="405">
        <f t="shared" si="2"/>
        <v>4945.25</v>
      </c>
      <c r="CI21" s="405">
        <f t="shared" si="2"/>
        <v>4945.25</v>
      </c>
      <c r="CJ21" s="405">
        <f t="shared" si="2"/>
        <v>4945.25</v>
      </c>
      <c r="CK21" s="405">
        <f t="shared" si="2"/>
        <v>4945.25</v>
      </c>
      <c r="CL21" s="405">
        <f t="shared" si="2"/>
        <v>4945.25</v>
      </c>
      <c r="CM21" s="405">
        <f t="shared" si="2"/>
        <v>4945.25</v>
      </c>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c r="EB21" s="58"/>
      <c r="EC21" s="58"/>
      <c r="ED21" s="58"/>
      <c r="EE21" s="58"/>
      <c r="EF21" s="58"/>
      <c r="EG21" s="58"/>
      <c r="EH21" s="58"/>
      <c r="EI21" s="58"/>
      <c r="EJ21" s="58"/>
      <c r="EK21" s="58"/>
      <c r="EL21" s="58"/>
      <c r="EM21" s="58"/>
      <c r="EN21" s="58"/>
      <c r="EO21" s="58"/>
      <c r="EP21" s="58"/>
      <c r="EQ21" s="58"/>
      <c r="ER21" s="58"/>
      <c r="ES21" s="58"/>
      <c r="ET21" s="58"/>
      <c r="EU21" s="58"/>
      <c r="EV21" s="58"/>
      <c r="EW21" s="58"/>
      <c r="EX21" s="58"/>
      <c r="EY21" s="58"/>
      <c r="EZ21" s="58"/>
      <c r="FA21" s="58"/>
      <c r="FB21" s="58"/>
      <c r="FC21" s="58"/>
      <c r="FD21" s="58"/>
      <c r="FE21" s="58"/>
      <c r="FF21" s="58"/>
      <c r="FG21" s="58"/>
      <c r="FH21" s="58"/>
      <c r="FI21" s="58"/>
      <c r="FJ21" s="58"/>
      <c r="FK21" s="58"/>
      <c r="FL21" s="58"/>
      <c r="FM21" s="58"/>
      <c r="FN21" s="58"/>
      <c r="FO21" s="58"/>
      <c r="FP21" s="58"/>
      <c r="FQ21" s="58"/>
      <c r="FR21" s="58"/>
      <c r="FS21" s="58"/>
      <c r="FT21" s="58"/>
      <c r="FU21" s="58"/>
      <c r="FV21" s="58"/>
    </row>
    <row r="22" spans="1:178">
      <c r="A22" s="1069"/>
      <c r="B22" s="224" t="s">
        <v>312</v>
      </c>
      <c r="C22" s="367" t="s">
        <v>313</v>
      </c>
      <c r="D22" s="367"/>
      <c r="E22" s="1072"/>
      <c r="F22" s="407" t="str">
        <f>F11</f>
        <v xml:space="preserve"> C9+   </v>
      </c>
      <c r="G22" s="408">
        <f>3685.55</f>
        <v>3685.55</v>
      </c>
      <c r="H22" s="408">
        <f t="shared" ref="H22:BS22" si="3">3685.55</f>
        <v>3685.55</v>
      </c>
      <c r="I22" s="408">
        <f t="shared" si="3"/>
        <v>3685.55</v>
      </c>
      <c r="J22" s="408">
        <f t="shared" si="3"/>
        <v>3685.55</v>
      </c>
      <c r="K22" s="408">
        <f t="shared" si="3"/>
        <v>3685.55</v>
      </c>
      <c r="L22" s="408">
        <f t="shared" si="3"/>
        <v>3685.55</v>
      </c>
      <c r="M22" s="408">
        <f t="shared" si="3"/>
        <v>3685.55</v>
      </c>
      <c r="N22" s="408">
        <f t="shared" si="3"/>
        <v>3685.55</v>
      </c>
      <c r="O22" s="408">
        <f t="shared" si="3"/>
        <v>3685.55</v>
      </c>
      <c r="P22" s="408">
        <f t="shared" si="3"/>
        <v>3685.55</v>
      </c>
      <c r="Q22" s="408">
        <f t="shared" si="3"/>
        <v>3685.55</v>
      </c>
      <c r="R22" s="408">
        <f t="shared" si="3"/>
        <v>3685.55</v>
      </c>
      <c r="S22" s="408">
        <f t="shared" si="3"/>
        <v>3685.55</v>
      </c>
      <c r="T22" s="408">
        <f t="shared" si="3"/>
        <v>3685.55</v>
      </c>
      <c r="U22" s="408">
        <f t="shared" si="3"/>
        <v>3685.55</v>
      </c>
      <c r="V22" s="408">
        <f t="shared" si="3"/>
        <v>3685.55</v>
      </c>
      <c r="W22" s="408">
        <f t="shared" si="3"/>
        <v>3685.55</v>
      </c>
      <c r="X22" s="408">
        <f t="shared" si="3"/>
        <v>3685.55</v>
      </c>
      <c r="Y22" s="408">
        <f t="shared" si="3"/>
        <v>3685.55</v>
      </c>
      <c r="Z22" s="408">
        <f t="shared" si="3"/>
        <v>3685.55</v>
      </c>
      <c r="AA22" s="408">
        <f t="shared" si="3"/>
        <v>3685.55</v>
      </c>
      <c r="AB22" s="408">
        <f t="shared" si="3"/>
        <v>3685.55</v>
      </c>
      <c r="AC22" s="408">
        <f t="shared" si="3"/>
        <v>3685.55</v>
      </c>
      <c r="AD22" s="408">
        <f t="shared" si="3"/>
        <v>3685.55</v>
      </c>
      <c r="AE22" s="408">
        <f t="shared" si="3"/>
        <v>3685.55</v>
      </c>
      <c r="AF22" s="408">
        <f t="shared" si="3"/>
        <v>3685.55</v>
      </c>
      <c r="AG22" s="408">
        <f t="shared" si="3"/>
        <v>3685.55</v>
      </c>
      <c r="AH22" s="408">
        <f t="shared" si="3"/>
        <v>3685.55</v>
      </c>
      <c r="AI22" s="408">
        <f t="shared" si="3"/>
        <v>3685.55</v>
      </c>
      <c r="AJ22" s="408">
        <f t="shared" si="3"/>
        <v>3685.55</v>
      </c>
      <c r="AK22" s="408">
        <f t="shared" si="3"/>
        <v>3685.55</v>
      </c>
      <c r="AL22" s="408">
        <f t="shared" si="3"/>
        <v>3685.55</v>
      </c>
      <c r="AM22" s="408">
        <f t="shared" si="3"/>
        <v>3685.55</v>
      </c>
      <c r="AN22" s="408">
        <f t="shared" si="3"/>
        <v>3685.55</v>
      </c>
      <c r="AO22" s="408">
        <f t="shared" si="3"/>
        <v>3685.55</v>
      </c>
      <c r="AP22" s="408">
        <f t="shared" si="3"/>
        <v>3685.55</v>
      </c>
      <c r="AQ22" s="408">
        <f t="shared" si="3"/>
        <v>3685.55</v>
      </c>
      <c r="AR22" s="408">
        <f t="shared" si="3"/>
        <v>3685.55</v>
      </c>
      <c r="AS22" s="408">
        <f t="shared" si="3"/>
        <v>3685.55</v>
      </c>
      <c r="AT22" s="408">
        <f t="shared" si="3"/>
        <v>3685.55</v>
      </c>
      <c r="AU22" s="408">
        <f t="shared" si="3"/>
        <v>3685.55</v>
      </c>
      <c r="AV22" s="408">
        <f t="shared" si="3"/>
        <v>3685.55</v>
      </c>
      <c r="AW22" s="408">
        <f t="shared" si="3"/>
        <v>3685.55</v>
      </c>
      <c r="AX22" s="408">
        <f t="shared" si="3"/>
        <v>3685.55</v>
      </c>
      <c r="AY22" s="408">
        <f t="shared" si="3"/>
        <v>3685.55</v>
      </c>
      <c r="AZ22" s="408">
        <f t="shared" si="3"/>
        <v>3685.55</v>
      </c>
      <c r="BA22" s="408">
        <f t="shared" si="3"/>
        <v>3685.55</v>
      </c>
      <c r="BB22" s="408">
        <f t="shared" si="3"/>
        <v>3685.55</v>
      </c>
      <c r="BC22" s="408">
        <f t="shared" si="3"/>
        <v>3685.55</v>
      </c>
      <c r="BD22" s="408">
        <f t="shared" si="3"/>
        <v>3685.55</v>
      </c>
      <c r="BE22" s="408">
        <f t="shared" si="3"/>
        <v>3685.55</v>
      </c>
      <c r="BF22" s="408">
        <f t="shared" si="3"/>
        <v>3685.55</v>
      </c>
      <c r="BG22" s="408">
        <f t="shared" si="3"/>
        <v>3685.55</v>
      </c>
      <c r="BH22" s="408">
        <f t="shared" si="3"/>
        <v>3685.55</v>
      </c>
      <c r="BI22" s="408">
        <f t="shared" si="3"/>
        <v>3685.55</v>
      </c>
      <c r="BJ22" s="408">
        <f t="shared" si="3"/>
        <v>3685.55</v>
      </c>
      <c r="BK22" s="408">
        <f t="shared" si="3"/>
        <v>3685.55</v>
      </c>
      <c r="BL22" s="408">
        <f t="shared" si="3"/>
        <v>3685.55</v>
      </c>
      <c r="BM22" s="408">
        <f t="shared" si="3"/>
        <v>3685.55</v>
      </c>
      <c r="BN22" s="408">
        <f t="shared" si="3"/>
        <v>3685.55</v>
      </c>
      <c r="BO22" s="408">
        <f t="shared" si="3"/>
        <v>3685.55</v>
      </c>
      <c r="BP22" s="408">
        <f t="shared" si="3"/>
        <v>3685.55</v>
      </c>
      <c r="BQ22" s="408">
        <f t="shared" si="3"/>
        <v>3685.55</v>
      </c>
      <c r="BR22" s="408">
        <f t="shared" si="3"/>
        <v>3685.55</v>
      </c>
      <c r="BS22" s="408">
        <f t="shared" si="3"/>
        <v>3685.55</v>
      </c>
      <c r="BT22" s="408">
        <f t="shared" ref="BT22:CM22" si="4">3685.55</f>
        <v>3685.55</v>
      </c>
      <c r="BU22" s="408">
        <f t="shared" si="4"/>
        <v>3685.55</v>
      </c>
      <c r="BV22" s="408">
        <f t="shared" si="4"/>
        <v>3685.55</v>
      </c>
      <c r="BW22" s="408">
        <f t="shared" si="4"/>
        <v>3685.55</v>
      </c>
      <c r="BX22" s="408">
        <f t="shared" si="4"/>
        <v>3685.55</v>
      </c>
      <c r="BY22" s="408">
        <f t="shared" si="4"/>
        <v>3685.55</v>
      </c>
      <c r="BZ22" s="408">
        <f t="shared" si="4"/>
        <v>3685.55</v>
      </c>
      <c r="CA22" s="408">
        <f t="shared" si="4"/>
        <v>3685.55</v>
      </c>
      <c r="CB22" s="408">
        <f t="shared" si="4"/>
        <v>3685.55</v>
      </c>
      <c r="CC22" s="408">
        <f t="shared" si="4"/>
        <v>3685.55</v>
      </c>
      <c r="CD22" s="408">
        <f t="shared" si="4"/>
        <v>3685.55</v>
      </c>
      <c r="CE22" s="408">
        <f t="shared" si="4"/>
        <v>3685.55</v>
      </c>
      <c r="CF22" s="408">
        <f t="shared" si="4"/>
        <v>3685.55</v>
      </c>
      <c r="CG22" s="408">
        <f t="shared" si="4"/>
        <v>3685.55</v>
      </c>
      <c r="CH22" s="408">
        <f t="shared" si="4"/>
        <v>3685.55</v>
      </c>
      <c r="CI22" s="408">
        <f t="shared" si="4"/>
        <v>3685.55</v>
      </c>
      <c r="CJ22" s="408">
        <f t="shared" si="4"/>
        <v>3685.55</v>
      </c>
      <c r="CK22" s="408">
        <f t="shared" si="4"/>
        <v>3685.55</v>
      </c>
      <c r="CL22" s="408">
        <f t="shared" si="4"/>
        <v>3685.55</v>
      </c>
      <c r="CM22" s="408">
        <f t="shared" si="4"/>
        <v>3685.55</v>
      </c>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c r="EB22" s="58"/>
      <c r="EC22" s="58"/>
      <c r="ED22" s="58"/>
      <c r="EE22" s="58"/>
      <c r="EF22" s="58"/>
      <c r="EG22" s="58"/>
      <c r="EH22" s="58"/>
      <c r="EI22" s="58"/>
      <c r="EJ22" s="58"/>
      <c r="EK22" s="58"/>
      <c r="EL22" s="58"/>
      <c r="EM22" s="58"/>
      <c r="EN22" s="58"/>
      <c r="EO22" s="58"/>
      <c r="EP22" s="58"/>
      <c r="EQ22" s="58"/>
      <c r="ER22" s="58"/>
      <c r="ES22" s="58"/>
      <c r="ET22" s="58"/>
      <c r="EU22" s="58"/>
      <c r="EV22" s="58"/>
      <c r="EW22" s="58"/>
      <c r="EX22" s="58"/>
      <c r="EY22" s="58"/>
      <c r="EZ22" s="58"/>
      <c r="FA22" s="58"/>
      <c r="FB22" s="58"/>
      <c r="FC22" s="58"/>
      <c r="FD22" s="58"/>
      <c r="FE22" s="58"/>
      <c r="FF22" s="58"/>
      <c r="FG22" s="58"/>
      <c r="FH22" s="58"/>
      <c r="FI22" s="58"/>
      <c r="FJ22" s="58"/>
      <c r="FK22" s="58"/>
      <c r="FL22" s="58"/>
      <c r="FM22" s="58"/>
      <c r="FN22" s="58"/>
      <c r="FO22" s="58"/>
      <c r="FP22" s="58"/>
      <c r="FQ22" s="58"/>
      <c r="FR22" s="58"/>
      <c r="FS22" s="58"/>
      <c r="FT22" s="58"/>
      <c r="FU22" s="58"/>
      <c r="FV22" s="58"/>
    </row>
    <row r="23" spans="1:178">
      <c r="A23" s="1058" t="s">
        <v>317</v>
      </c>
      <c r="B23" s="2" t="s">
        <v>312</v>
      </c>
      <c r="C23" s="362" t="s">
        <v>313</v>
      </c>
      <c r="D23" s="362">
        <v>27.86</v>
      </c>
      <c r="E23" s="58"/>
      <c r="F23" s="382" t="s">
        <v>170</v>
      </c>
      <c r="G23" s="410">
        <f>$D$23*G16/1000</f>
        <v>2550.2811833333335</v>
      </c>
      <c r="H23" s="410">
        <f t="shared" ref="H23:BS23" si="5">$D$23*H16/1000</f>
        <v>2550.2811833333335</v>
      </c>
      <c r="I23" s="410">
        <f t="shared" si="5"/>
        <v>2550.2811833333335</v>
      </c>
      <c r="J23" s="410">
        <f t="shared" si="5"/>
        <v>2550.2811833333335</v>
      </c>
      <c r="K23" s="410">
        <f t="shared" si="5"/>
        <v>2550.2811833333335</v>
      </c>
      <c r="L23" s="410">
        <f t="shared" si="5"/>
        <v>2550.2811833333335</v>
      </c>
      <c r="M23" s="410">
        <f t="shared" si="5"/>
        <v>2550.2811833333335</v>
      </c>
      <c r="N23" s="410">
        <f t="shared" si="5"/>
        <v>2550.2811833333335</v>
      </c>
      <c r="O23" s="410">
        <f t="shared" si="5"/>
        <v>2550.2811833333335</v>
      </c>
      <c r="P23" s="410">
        <f t="shared" si="5"/>
        <v>2550.2811833333335</v>
      </c>
      <c r="Q23" s="410">
        <f t="shared" si="5"/>
        <v>2550.2811833333335</v>
      </c>
      <c r="R23" s="410">
        <f t="shared" si="5"/>
        <v>2550.2811833333335</v>
      </c>
      <c r="S23" s="410">
        <f t="shared" si="5"/>
        <v>2550.2811833333335</v>
      </c>
      <c r="T23" s="410">
        <f t="shared" si="5"/>
        <v>2550.2811833333335</v>
      </c>
      <c r="U23" s="410">
        <f t="shared" si="5"/>
        <v>2550.2811833333335</v>
      </c>
      <c r="V23" s="410">
        <f t="shared" si="5"/>
        <v>2550.2811833333335</v>
      </c>
      <c r="W23" s="410">
        <f t="shared" si="5"/>
        <v>2550.2811833333335</v>
      </c>
      <c r="X23" s="410">
        <f t="shared" si="5"/>
        <v>2550.2811833333335</v>
      </c>
      <c r="Y23" s="410">
        <f t="shared" si="5"/>
        <v>2550.2811833333335</v>
      </c>
      <c r="Z23" s="410">
        <f t="shared" si="5"/>
        <v>2550.2811833333335</v>
      </c>
      <c r="AA23" s="410">
        <f t="shared" si="5"/>
        <v>2550.2811833333335</v>
      </c>
      <c r="AB23" s="410">
        <f t="shared" si="5"/>
        <v>2550.2811833333335</v>
      </c>
      <c r="AC23" s="410">
        <f t="shared" si="5"/>
        <v>2550.2811833333335</v>
      </c>
      <c r="AD23" s="410">
        <f t="shared" si="5"/>
        <v>2550.2811833333335</v>
      </c>
      <c r="AE23" s="410">
        <f t="shared" si="5"/>
        <v>2550.2811833333335</v>
      </c>
      <c r="AF23" s="410">
        <f t="shared" si="5"/>
        <v>2550.2811833333335</v>
      </c>
      <c r="AG23" s="410">
        <f t="shared" si="5"/>
        <v>2550.2811833333335</v>
      </c>
      <c r="AH23" s="410">
        <f t="shared" si="5"/>
        <v>2550.2811833333335</v>
      </c>
      <c r="AI23" s="410">
        <f t="shared" si="5"/>
        <v>2550.2811833333335</v>
      </c>
      <c r="AJ23" s="410">
        <f t="shared" si="5"/>
        <v>2550.2811833333335</v>
      </c>
      <c r="AK23" s="410">
        <f t="shared" si="5"/>
        <v>2550.2811833333335</v>
      </c>
      <c r="AL23" s="410">
        <f t="shared" si="5"/>
        <v>2550.2811833333335</v>
      </c>
      <c r="AM23" s="410">
        <f t="shared" si="5"/>
        <v>2550.2811833333335</v>
      </c>
      <c r="AN23" s="410">
        <f t="shared" si="5"/>
        <v>2550.2811833333335</v>
      </c>
      <c r="AO23" s="410">
        <f t="shared" si="5"/>
        <v>2550.2811833333335</v>
      </c>
      <c r="AP23" s="410">
        <f t="shared" si="5"/>
        <v>2550.2811833333335</v>
      </c>
      <c r="AQ23" s="410">
        <f t="shared" si="5"/>
        <v>2550.2811833333335</v>
      </c>
      <c r="AR23" s="410">
        <f t="shared" si="5"/>
        <v>2550.2811833333335</v>
      </c>
      <c r="AS23" s="410">
        <f t="shared" si="5"/>
        <v>2550.2811833333335</v>
      </c>
      <c r="AT23" s="410">
        <f t="shared" si="5"/>
        <v>2550.2811833333335</v>
      </c>
      <c r="AU23" s="410">
        <f t="shared" si="5"/>
        <v>2550.2811833333335</v>
      </c>
      <c r="AV23" s="410">
        <f t="shared" si="5"/>
        <v>2550.2811833333335</v>
      </c>
      <c r="AW23" s="410">
        <f t="shared" si="5"/>
        <v>2550.2811833333335</v>
      </c>
      <c r="AX23" s="410">
        <f t="shared" si="5"/>
        <v>2550.2811833333335</v>
      </c>
      <c r="AY23" s="410">
        <f t="shared" si="5"/>
        <v>2550.2811833333335</v>
      </c>
      <c r="AZ23" s="410">
        <f t="shared" si="5"/>
        <v>2550.2811833333335</v>
      </c>
      <c r="BA23" s="410">
        <f t="shared" si="5"/>
        <v>2550.2811833333335</v>
      </c>
      <c r="BB23" s="410">
        <f t="shared" si="5"/>
        <v>2550.2811833333335</v>
      </c>
      <c r="BC23" s="410">
        <f t="shared" si="5"/>
        <v>2550.2811833333335</v>
      </c>
      <c r="BD23" s="410">
        <f t="shared" si="5"/>
        <v>2550.2811833333335</v>
      </c>
      <c r="BE23" s="410">
        <f t="shared" si="5"/>
        <v>2550.2811833333335</v>
      </c>
      <c r="BF23" s="410">
        <f t="shared" si="5"/>
        <v>2550.2811833333335</v>
      </c>
      <c r="BG23" s="410">
        <f t="shared" si="5"/>
        <v>2550.2811833333335</v>
      </c>
      <c r="BH23" s="410">
        <f t="shared" si="5"/>
        <v>2550.2811833333335</v>
      </c>
      <c r="BI23" s="410">
        <f t="shared" si="5"/>
        <v>2550.2811833333335</v>
      </c>
      <c r="BJ23" s="410">
        <f t="shared" si="5"/>
        <v>2550.2811833333335</v>
      </c>
      <c r="BK23" s="410">
        <f t="shared" si="5"/>
        <v>2550.2811833333335</v>
      </c>
      <c r="BL23" s="410">
        <f t="shared" si="5"/>
        <v>2550.2811833333335</v>
      </c>
      <c r="BM23" s="410">
        <f t="shared" si="5"/>
        <v>2550.2811833333335</v>
      </c>
      <c r="BN23" s="410">
        <f t="shared" si="5"/>
        <v>2550.2811833333335</v>
      </c>
      <c r="BO23" s="410">
        <f t="shared" si="5"/>
        <v>2550.2811833333335</v>
      </c>
      <c r="BP23" s="410">
        <f t="shared" si="5"/>
        <v>2550.2811833333335</v>
      </c>
      <c r="BQ23" s="410">
        <f t="shared" si="5"/>
        <v>2550.2811833333335</v>
      </c>
      <c r="BR23" s="410">
        <f t="shared" si="5"/>
        <v>2550.2811833333335</v>
      </c>
      <c r="BS23" s="410">
        <f t="shared" si="5"/>
        <v>2550.2811833333335</v>
      </c>
      <c r="BT23" s="410">
        <f t="shared" ref="BT23:CM23" si="6">$D$23*BT16/1000</f>
        <v>2550.2811833333335</v>
      </c>
      <c r="BU23" s="410">
        <f t="shared" si="6"/>
        <v>2550.2811833333335</v>
      </c>
      <c r="BV23" s="410">
        <f t="shared" si="6"/>
        <v>2550.2811833333335</v>
      </c>
      <c r="BW23" s="410">
        <f t="shared" si="6"/>
        <v>2550.2811833333335</v>
      </c>
      <c r="BX23" s="410">
        <f t="shared" si="6"/>
        <v>2550.2811833333335</v>
      </c>
      <c r="BY23" s="410">
        <f t="shared" si="6"/>
        <v>2550.2811833333335</v>
      </c>
      <c r="BZ23" s="410">
        <f t="shared" si="6"/>
        <v>2550.2811833333335</v>
      </c>
      <c r="CA23" s="410">
        <f t="shared" si="6"/>
        <v>2550.2811833333335</v>
      </c>
      <c r="CB23" s="410">
        <f t="shared" si="6"/>
        <v>2550.2811833333335</v>
      </c>
      <c r="CC23" s="410">
        <f t="shared" si="6"/>
        <v>2550.2811833333335</v>
      </c>
      <c r="CD23" s="410">
        <f t="shared" si="6"/>
        <v>2550.2811833333335</v>
      </c>
      <c r="CE23" s="410">
        <f t="shared" si="6"/>
        <v>2550.2811833333335</v>
      </c>
      <c r="CF23" s="410">
        <f t="shared" si="6"/>
        <v>2550.2811833333335</v>
      </c>
      <c r="CG23" s="410">
        <f t="shared" si="6"/>
        <v>2550.2811833333335</v>
      </c>
      <c r="CH23" s="410">
        <f t="shared" si="6"/>
        <v>2550.2811833333335</v>
      </c>
      <c r="CI23" s="410">
        <f t="shared" si="6"/>
        <v>2550.2811833333335</v>
      </c>
      <c r="CJ23" s="410">
        <f t="shared" si="6"/>
        <v>2550.2811833333335</v>
      </c>
      <c r="CK23" s="410">
        <f t="shared" si="6"/>
        <v>2550.2811833333335</v>
      </c>
      <c r="CL23" s="410">
        <f t="shared" si="6"/>
        <v>2550.2811833333335</v>
      </c>
      <c r="CM23" s="410">
        <f t="shared" si="6"/>
        <v>2550.2811833333335</v>
      </c>
      <c r="CN23" s="58"/>
      <c r="CO23" s="58"/>
      <c r="CP23" s="58"/>
      <c r="CQ23" s="58"/>
      <c r="CR23" s="58"/>
      <c r="CS23" s="58"/>
      <c r="CT23" s="58"/>
      <c r="CU23" s="58"/>
      <c r="CV23" s="58"/>
      <c r="CW23" s="58"/>
      <c r="CX23" s="58"/>
      <c r="CY23" s="58"/>
      <c r="CZ23" s="58"/>
      <c r="DA23" s="58"/>
      <c r="DB23" s="58"/>
      <c r="DC23" s="58"/>
      <c r="DD23" s="58"/>
      <c r="DE23" s="58"/>
      <c r="DF23" s="58"/>
      <c r="DG23" s="58"/>
      <c r="DH23" s="58"/>
      <c r="DI23" s="58"/>
      <c r="DJ23" s="58"/>
      <c r="DK23" s="58"/>
      <c r="DL23" s="58"/>
      <c r="DM23" s="58"/>
      <c r="DN23" s="58"/>
      <c r="DO23" s="58"/>
      <c r="DP23" s="58"/>
      <c r="DQ23" s="58"/>
      <c r="DR23" s="58"/>
      <c r="DS23" s="58"/>
      <c r="DT23" s="58"/>
      <c r="DU23" s="58"/>
      <c r="DV23" s="58"/>
      <c r="DW23" s="58"/>
      <c r="DX23" s="58"/>
      <c r="DY23" s="58"/>
      <c r="DZ23" s="58"/>
      <c r="EA23" s="58"/>
      <c r="EB23" s="58"/>
      <c r="EC23" s="58"/>
      <c r="ED23" s="58"/>
      <c r="EE23" s="58"/>
      <c r="EF23" s="58"/>
      <c r="EG23" s="58"/>
      <c r="EH23" s="58"/>
      <c r="EI23" s="58"/>
      <c r="EJ23" s="58"/>
      <c r="EK23" s="58"/>
      <c r="EL23" s="58"/>
      <c r="EM23" s="58"/>
      <c r="EN23" s="58"/>
      <c r="EO23" s="58"/>
      <c r="EP23" s="58"/>
      <c r="EQ23" s="58"/>
      <c r="ER23" s="58"/>
      <c r="ES23" s="58"/>
      <c r="ET23" s="58"/>
      <c r="EU23" s="58"/>
      <c r="EV23" s="58"/>
      <c r="EW23" s="58"/>
      <c r="EX23" s="58"/>
      <c r="EY23" s="58"/>
      <c r="EZ23" s="58"/>
      <c r="FA23" s="58"/>
      <c r="FB23" s="58"/>
      <c r="FC23" s="58"/>
      <c r="FD23" s="58"/>
      <c r="FE23" s="58"/>
      <c r="FF23" s="58"/>
      <c r="FG23" s="58"/>
      <c r="FH23" s="58"/>
      <c r="FI23" s="58"/>
      <c r="FJ23" s="58"/>
      <c r="FK23" s="58"/>
      <c r="FL23" s="58"/>
      <c r="FM23" s="58"/>
      <c r="FN23" s="58"/>
      <c r="FO23" s="58"/>
      <c r="FP23" s="58"/>
      <c r="FQ23" s="58"/>
      <c r="FR23" s="58"/>
      <c r="FS23" s="58"/>
      <c r="FT23" s="58"/>
      <c r="FU23" s="58"/>
      <c r="FV23" s="58"/>
    </row>
    <row r="24" spans="1:178">
      <c r="A24" s="1058"/>
      <c r="B24" s="2" t="s">
        <v>312</v>
      </c>
      <c r="C24" s="362" t="s">
        <v>313</v>
      </c>
      <c r="D24" s="362">
        <v>0.23</v>
      </c>
      <c r="E24" s="58"/>
      <c r="F24" s="382" t="s">
        <v>171</v>
      </c>
      <c r="G24" s="410">
        <f>$D$24*G13</f>
        <v>5194.166666666667</v>
      </c>
      <c r="H24" s="410">
        <f t="shared" ref="H24:BS24" si="7">$D$24*H13</f>
        <v>5194.166666666667</v>
      </c>
      <c r="I24" s="410">
        <f t="shared" si="7"/>
        <v>5194.166666666667</v>
      </c>
      <c r="J24" s="410">
        <f t="shared" si="7"/>
        <v>5194.166666666667</v>
      </c>
      <c r="K24" s="410">
        <f t="shared" si="7"/>
        <v>5194.166666666667</v>
      </c>
      <c r="L24" s="410">
        <f t="shared" si="7"/>
        <v>5194.166666666667</v>
      </c>
      <c r="M24" s="410">
        <f t="shared" si="7"/>
        <v>5194.166666666667</v>
      </c>
      <c r="N24" s="410">
        <f t="shared" si="7"/>
        <v>5194.166666666667</v>
      </c>
      <c r="O24" s="410">
        <f t="shared" si="7"/>
        <v>5194.166666666667</v>
      </c>
      <c r="P24" s="410">
        <f t="shared" si="7"/>
        <v>5194.166666666667</v>
      </c>
      <c r="Q24" s="410">
        <f t="shared" si="7"/>
        <v>5194.166666666667</v>
      </c>
      <c r="R24" s="410">
        <f t="shared" si="7"/>
        <v>5194.166666666667</v>
      </c>
      <c r="S24" s="410">
        <f t="shared" si="7"/>
        <v>5194.166666666667</v>
      </c>
      <c r="T24" s="410">
        <f t="shared" si="7"/>
        <v>5194.166666666667</v>
      </c>
      <c r="U24" s="410">
        <f t="shared" si="7"/>
        <v>5194.166666666667</v>
      </c>
      <c r="V24" s="410">
        <f t="shared" si="7"/>
        <v>5194.166666666667</v>
      </c>
      <c r="W24" s="410">
        <f t="shared" si="7"/>
        <v>5194.166666666667</v>
      </c>
      <c r="X24" s="410">
        <f t="shared" si="7"/>
        <v>5194.166666666667</v>
      </c>
      <c r="Y24" s="410">
        <f t="shared" si="7"/>
        <v>5194.166666666667</v>
      </c>
      <c r="Z24" s="410">
        <f t="shared" si="7"/>
        <v>5194.166666666667</v>
      </c>
      <c r="AA24" s="410">
        <f t="shared" si="7"/>
        <v>5194.166666666667</v>
      </c>
      <c r="AB24" s="410">
        <f t="shared" si="7"/>
        <v>5194.166666666667</v>
      </c>
      <c r="AC24" s="410">
        <f t="shared" si="7"/>
        <v>5194.166666666667</v>
      </c>
      <c r="AD24" s="410">
        <f t="shared" si="7"/>
        <v>5194.166666666667</v>
      </c>
      <c r="AE24" s="410">
        <f t="shared" si="7"/>
        <v>5194.166666666667</v>
      </c>
      <c r="AF24" s="410">
        <f t="shared" si="7"/>
        <v>5194.166666666667</v>
      </c>
      <c r="AG24" s="410">
        <f t="shared" si="7"/>
        <v>5194.166666666667</v>
      </c>
      <c r="AH24" s="410">
        <f t="shared" si="7"/>
        <v>5194.166666666667</v>
      </c>
      <c r="AI24" s="410">
        <f t="shared" si="7"/>
        <v>5194.166666666667</v>
      </c>
      <c r="AJ24" s="410">
        <f t="shared" si="7"/>
        <v>5194.166666666667</v>
      </c>
      <c r="AK24" s="410">
        <f t="shared" si="7"/>
        <v>5194.166666666667</v>
      </c>
      <c r="AL24" s="410">
        <f t="shared" si="7"/>
        <v>5194.166666666667</v>
      </c>
      <c r="AM24" s="410">
        <f t="shared" si="7"/>
        <v>5194.166666666667</v>
      </c>
      <c r="AN24" s="410">
        <f t="shared" si="7"/>
        <v>5194.166666666667</v>
      </c>
      <c r="AO24" s="410">
        <f t="shared" si="7"/>
        <v>5194.166666666667</v>
      </c>
      <c r="AP24" s="410">
        <f t="shared" si="7"/>
        <v>5194.166666666667</v>
      </c>
      <c r="AQ24" s="410">
        <f t="shared" si="7"/>
        <v>5194.166666666667</v>
      </c>
      <c r="AR24" s="410">
        <f t="shared" si="7"/>
        <v>5194.166666666667</v>
      </c>
      <c r="AS24" s="410">
        <f t="shared" si="7"/>
        <v>5194.166666666667</v>
      </c>
      <c r="AT24" s="410">
        <f t="shared" si="7"/>
        <v>5194.166666666667</v>
      </c>
      <c r="AU24" s="410">
        <f t="shared" si="7"/>
        <v>5194.166666666667</v>
      </c>
      <c r="AV24" s="410">
        <f t="shared" si="7"/>
        <v>5194.166666666667</v>
      </c>
      <c r="AW24" s="410">
        <f t="shared" si="7"/>
        <v>5194.166666666667</v>
      </c>
      <c r="AX24" s="410">
        <f t="shared" si="7"/>
        <v>5194.166666666667</v>
      </c>
      <c r="AY24" s="410">
        <f t="shared" si="7"/>
        <v>5194.166666666667</v>
      </c>
      <c r="AZ24" s="410">
        <f t="shared" si="7"/>
        <v>5194.166666666667</v>
      </c>
      <c r="BA24" s="410">
        <f t="shared" si="7"/>
        <v>5194.166666666667</v>
      </c>
      <c r="BB24" s="410">
        <f t="shared" si="7"/>
        <v>5194.166666666667</v>
      </c>
      <c r="BC24" s="410">
        <f t="shared" si="7"/>
        <v>5194.166666666667</v>
      </c>
      <c r="BD24" s="410">
        <f t="shared" si="7"/>
        <v>5194.166666666667</v>
      </c>
      <c r="BE24" s="410">
        <f t="shared" si="7"/>
        <v>5194.166666666667</v>
      </c>
      <c r="BF24" s="410">
        <f t="shared" si="7"/>
        <v>5194.166666666667</v>
      </c>
      <c r="BG24" s="410">
        <f t="shared" si="7"/>
        <v>5194.166666666667</v>
      </c>
      <c r="BH24" s="410">
        <f t="shared" si="7"/>
        <v>5194.166666666667</v>
      </c>
      <c r="BI24" s="410">
        <f t="shared" si="7"/>
        <v>5194.166666666667</v>
      </c>
      <c r="BJ24" s="410">
        <f t="shared" si="7"/>
        <v>5194.166666666667</v>
      </c>
      <c r="BK24" s="410">
        <f t="shared" si="7"/>
        <v>5194.166666666667</v>
      </c>
      <c r="BL24" s="410">
        <f t="shared" si="7"/>
        <v>5194.166666666667</v>
      </c>
      <c r="BM24" s="410">
        <f t="shared" si="7"/>
        <v>5194.166666666667</v>
      </c>
      <c r="BN24" s="410">
        <f t="shared" si="7"/>
        <v>5194.166666666667</v>
      </c>
      <c r="BO24" s="410">
        <f t="shared" si="7"/>
        <v>5194.166666666667</v>
      </c>
      <c r="BP24" s="410">
        <f t="shared" si="7"/>
        <v>5194.166666666667</v>
      </c>
      <c r="BQ24" s="410">
        <f t="shared" si="7"/>
        <v>5194.166666666667</v>
      </c>
      <c r="BR24" s="410">
        <f t="shared" si="7"/>
        <v>5194.166666666667</v>
      </c>
      <c r="BS24" s="410">
        <f t="shared" si="7"/>
        <v>5194.166666666667</v>
      </c>
      <c r="BT24" s="410">
        <f t="shared" ref="BT24:CM24" si="8">$D$24*BT13</f>
        <v>5194.166666666667</v>
      </c>
      <c r="BU24" s="410">
        <f t="shared" si="8"/>
        <v>5194.166666666667</v>
      </c>
      <c r="BV24" s="410">
        <f t="shared" si="8"/>
        <v>5194.166666666667</v>
      </c>
      <c r="BW24" s="410">
        <f t="shared" si="8"/>
        <v>5194.166666666667</v>
      </c>
      <c r="BX24" s="410">
        <f t="shared" si="8"/>
        <v>5194.166666666667</v>
      </c>
      <c r="BY24" s="410">
        <f t="shared" si="8"/>
        <v>5194.166666666667</v>
      </c>
      <c r="BZ24" s="410">
        <f t="shared" si="8"/>
        <v>5194.166666666667</v>
      </c>
      <c r="CA24" s="410">
        <f t="shared" si="8"/>
        <v>5194.166666666667</v>
      </c>
      <c r="CB24" s="410">
        <f t="shared" si="8"/>
        <v>5194.166666666667</v>
      </c>
      <c r="CC24" s="410">
        <f t="shared" si="8"/>
        <v>5194.166666666667</v>
      </c>
      <c r="CD24" s="410">
        <f t="shared" si="8"/>
        <v>5194.166666666667</v>
      </c>
      <c r="CE24" s="410">
        <f t="shared" si="8"/>
        <v>5194.166666666667</v>
      </c>
      <c r="CF24" s="410">
        <f t="shared" si="8"/>
        <v>5194.166666666667</v>
      </c>
      <c r="CG24" s="410">
        <f t="shared" si="8"/>
        <v>5194.166666666667</v>
      </c>
      <c r="CH24" s="410">
        <f t="shared" si="8"/>
        <v>5194.166666666667</v>
      </c>
      <c r="CI24" s="410">
        <f t="shared" si="8"/>
        <v>5194.166666666667</v>
      </c>
      <c r="CJ24" s="410">
        <f t="shared" si="8"/>
        <v>5194.166666666667</v>
      </c>
      <c r="CK24" s="410">
        <f t="shared" si="8"/>
        <v>5194.166666666667</v>
      </c>
      <c r="CL24" s="410">
        <f t="shared" si="8"/>
        <v>5194.166666666667</v>
      </c>
      <c r="CM24" s="410">
        <f t="shared" si="8"/>
        <v>5194.166666666667</v>
      </c>
      <c r="CN24" s="58"/>
      <c r="CO24" s="58"/>
      <c r="CP24" s="58"/>
      <c r="CQ24" s="58"/>
      <c r="CR24" s="58"/>
      <c r="CS24" s="58"/>
      <c r="CT24" s="58"/>
      <c r="CU24" s="58"/>
      <c r="CV24" s="58"/>
      <c r="CW24" s="58"/>
      <c r="CX24" s="58"/>
      <c r="CY24" s="58"/>
      <c r="CZ24" s="58"/>
      <c r="DA24" s="58"/>
      <c r="DB24" s="58"/>
      <c r="DC24" s="58"/>
      <c r="DD24" s="58"/>
      <c r="DE24" s="58"/>
      <c r="DF24" s="58"/>
      <c r="DG24" s="58"/>
      <c r="DH24" s="58"/>
      <c r="DI24" s="58"/>
      <c r="DJ24" s="58"/>
      <c r="DK24" s="58"/>
      <c r="DL24" s="58"/>
      <c r="DM24" s="58"/>
      <c r="DN24" s="58"/>
      <c r="DO24" s="58"/>
      <c r="DP24" s="58"/>
      <c r="DQ24" s="58"/>
      <c r="DR24" s="58"/>
      <c r="DS24" s="58"/>
      <c r="DT24" s="58"/>
      <c r="DU24" s="58"/>
      <c r="DV24" s="58"/>
      <c r="DW24" s="58"/>
      <c r="DX24" s="58"/>
      <c r="DY24" s="58"/>
      <c r="DZ24" s="58"/>
      <c r="EA24" s="58"/>
      <c r="EB24" s="58"/>
      <c r="EC24" s="58"/>
      <c r="ED24" s="58"/>
      <c r="EE24" s="58"/>
      <c r="EF24" s="58"/>
      <c r="EG24" s="58"/>
      <c r="EH24" s="58"/>
      <c r="EI24" s="58"/>
      <c r="EJ24" s="58"/>
      <c r="EK24" s="58"/>
      <c r="EL24" s="58"/>
      <c r="EM24" s="58"/>
      <c r="EN24" s="58"/>
      <c r="EO24" s="58"/>
      <c r="EP24" s="58"/>
      <c r="EQ24" s="58"/>
      <c r="ER24" s="58"/>
      <c r="ES24" s="58"/>
      <c r="ET24" s="58"/>
      <c r="EU24" s="58"/>
      <c r="EV24" s="58"/>
      <c r="EW24" s="58"/>
      <c r="EX24" s="58"/>
      <c r="EY24" s="58"/>
      <c r="EZ24" s="58"/>
      <c r="FA24" s="58"/>
      <c r="FB24" s="58"/>
      <c r="FC24" s="58"/>
      <c r="FD24" s="58"/>
      <c r="FE24" s="58"/>
      <c r="FF24" s="58"/>
      <c r="FG24" s="58"/>
      <c r="FH24" s="58"/>
      <c r="FI24" s="58"/>
      <c r="FJ24" s="58"/>
      <c r="FK24" s="58"/>
      <c r="FL24" s="58"/>
      <c r="FM24" s="58"/>
      <c r="FN24" s="58"/>
      <c r="FO24" s="58"/>
      <c r="FP24" s="58"/>
      <c r="FQ24" s="58"/>
      <c r="FR24" s="58"/>
      <c r="FS24" s="58"/>
      <c r="FT24" s="58"/>
      <c r="FU24" s="58"/>
      <c r="FV24" s="58"/>
    </row>
    <row r="25" spans="1:178">
      <c r="A25" s="1058"/>
      <c r="B25" s="2" t="s">
        <v>312</v>
      </c>
      <c r="C25" s="362" t="s">
        <v>313</v>
      </c>
      <c r="D25" s="362">
        <v>0.26500000000000001</v>
      </c>
      <c r="E25" s="58"/>
      <c r="F25" s="382" t="s">
        <v>172</v>
      </c>
      <c r="G25" s="410">
        <f>$D$25*G14</f>
        <v>3687.9166666666665</v>
      </c>
      <c r="H25" s="410">
        <f t="shared" ref="H25:BS25" si="9">$D$25*H14</f>
        <v>3687.9166666666665</v>
      </c>
      <c r="I25" s="410">
        <f t="shared" si="9"/>
        <v>3687.9166666666665</v>
      </c>
      <c r="J25" s="410">
        <f t="shared" si="9"/>
        <v>3687.9166666666665</v>
      </c>
      <c r="K25" s="410">
        <f t="shared" si="9"/>
        <v>3687.9166666666665</v>
      </c>
      <c r="L25" s="410">
        <f t="shared" si="9"/>
        <v>3687.9166666666665</v>
      </c>
      <c r="M25" s="410">
        <f t="shared" si="9"/>
        <v>3687.9166666666665</v>
      </c>
      <c r="N25" s="410">
        <f t="shared" si="9"/>
        <v>3687.9166666666665</v>
      </c>
      <c r="O25" s="410">
        <f t="shared" si="9"/>
        <v>3687.9166666666665</v>
      </c>
      <c r="P25" s="410">
        <f t="shared" si="9"/>
        <v>3687.9166666666665</v>
      </c>
      <c r="Q25" s="410">
        <f t="shared" si="9"/>
        <v>3687.9166666666665</v>
      </c>
      <c r="R25" s="410">
        <f t="shared" si="9"/>
        <v>3687.9166666666665</v>
      </c>
      <c r="S25" s="410">
        <f t="shared" si="9"/>
        <v>3687.9166666666665</v>
      </c>
      <c r="T25" s="410">
        <f t="shared" si="9"/>
        <v>3687.9166666666665</v>
      </c>
      <c r="U25" s="410">
        <f t="shared" si="9"/>
        <v>3687.9166666666665</v>
      </c>
      <c r="V25" s="410">
        <f t="shared" si="9"/>
        <v>3687.9166666666665</v>
      </c>
      <c r="W25" s="410">
        <f t="shared" si="9"/>
        <v>3687.9166666666665</v>
      </c>
      <c r="X25" s="410">
        <f t="shared" si="9"/>
        <v>3687.9166666666665</v>
      </c>
      <c r="Y25" s="410">
        <f t="shared" si="9"/>
        <v>3687.9166666666665</v>
      </c>
      <c r="Z25" s="410">
        <f t="shared" si="9"/>
        <v>3687.9166666666665</v>
      </c>
      <c r="AA25" s="410">
        <f t="shared" si="9"/>
        <v>3687.9166666666665</v>
      </c>
      <c r="AB25" s="410">
        <f t="shared" si="9"/>
        <v>3687.9166666666665</v>
      </c>
      <c r="AC25" s="410">
        <f t="shared" si="9"/>
        <v>3687.9166666666665</v>
      </c>
      <c r="AD25" s="410">
        <f t="shared" si="9"/>
        <v>3687.9166666666665</v>
      </c>
      <c r="AE25" s="410">
        <f t="shared" si="9"/>
        <v>3687.9166666666665</v>
      </c>
      <c r="AF25" s="410">
        <f t="shared" si="9"/>
        <v>3687.9166666666665</v>
      </c>
      <c r="AG25" s="410">
        <f t="shared" si="9"/>
        <v>3687.9166666666665</v>
      </c>
      <c r="AH25" s="410">
        <f t="shared" si="9"/>
        <v>3687.9166666666665</v>
      </c>
      <c r="AI25" s="410">
        <f t="shared" si="9"/>
        <v>3687.9166666666665</v>
      </c>
      <c r="AJ25" s="410">
        <f t="shared" si="9"/>
        <v>3687.9166666666665</v>
      </c>
      <c r="AK25" s="410">
        <f t="shared" si="9"/>
        <v>3687.9166666666665</v>
      </c>
      <c r="AL25" s="410">
        <f t="shared" si="9"/>
        <v>3687.9166666666665</v>
      </c>
      <c r="AM25" s="410">
        <f t="shared" si="9"/>
        <v>3687.9166666666665</v>
      </c>
      <c r="AN25" s="410">
        <f t="shared" si="9"/>
        <v>3687.9166666666665</v>
      </c>
      <c r="AO25" s="410">
        <f t="shared" si="9"/>
        <v>3687.9166666666665</v>
      </c>
      <c r="AP25" s="410">
        <f t="shared" si="9"/>
        <v>3687.9166666666665</v>
      </c>
      <c r="AQ25" s="410">
        <f t="shared" si="9"/>
        <v>3687.9166666666665</v>
      </c>
      <c r="AR25" s="410">
        <f t="shared" si="9"/>
        <v>3687.9166666666665</v>
      </c>
      <c r="AS25" s="410">
        <f t="shared" si="9"/>
        <v>3687.9166666666665</v>
      </c>
      <c r="AT25" s="410">
        <f t="shared" si="9"/>
        <v>3687.9166666666665</v>
      </c>
      <c r="AU25" s="410">
        <f t="shared" si="9"/>
        <v>3687.9166666666665</v>
      </c>
      <c r="AV25" s="410">
        <f t="shared" si="9"/>
        <v>3687.9166666666665</v>
      </c>
      <c r="AW25" s="410">
        <f t="shared" si="9"/>
        <v>3687.9166666666665</v>
      </c>
      <c r="AX25" s="410">
        <f t="shared" si="9"/>
        <v>3687.9166666666665</v>
      </c>
      <c r="AY25" s="410">
        <f t="shared" si="9"/>
        <v>3687.9166666666665</v>
      </c>
      <c r="AZ25" s="410">
        <f t="shared" si="9"/>
        <v>3687.9166666666665</v>
      </c>
      <c r="BA25" s="410">
        <f t="shared" si="9"/>
        <v>3687.9166666666665</v>
      </c>
      <c r="BB25" s="410">
        <f t="shared" si="9"/>
        <v>3687.9166666666665</v>
      </c>
      <c r="BC25" s="410">
        <f t="shared" si="9"/>
        <v>3687.9166666666665</v>
      </c>
      <c r="BD25" s="410">
        <f t="shared" si="9"/>
        <v>3687.9166666666665</v>
      </c>
      <c r="BE25" s="410">
        <f t="shared" si="9"/>
        <v>3687.9166666666665</v>
      </c>
      <c r="BF25" s="410">
        <f t="shared" si="9"/>
        <v>3687.9166666666665</v>
      </c>
      <c r="BG25" s="410">
        <f t="shared" si="9"/>
        <v>3687.9166666666665</v>
      </c>
      <c r="BH25" s="410">
        <f t="shared" si="9"/>
        <v>3687.9166666666665</v>
      </c>
      <c r="BI25" s="410">
        <f t="shared" si="9"/>
        <v>3687.9166666666665</v>
      </c>
      <c r="BJ25" s="410">
        <f t="shared" si="9"/>
        <v>3687.9166666666665</v>
      </c>
      <c r="BK25" s="410">
        <f t="shared" si="9"/>
        <v>3687.9166666666665</v>
      </c>
      <c r="BL25" s="410">
        <f t="shared" si="9"/>
        <v>3687.9166666666665</v>
      </c>
      <c r="BM25" s="410">
        <f t="shared" si="9"/>
        <v>3687.9166666666665</v>
      </c>
      <c r="BN25" s="410">
        <f t="shared" si="9"/>
        <v>3687.9166666666665</v>
      </c>
      <c r="BO25" s="410">
        <f t="shared" si="9"/>
        <v>3687.9166666666665</v>
      </c>
      <c r="BP25" s="410">
        <f t="shared" si="9"/>
        <v>3687.9166666666665</v>
      </c>
      <c r="BQ25" s="410">
        <f t="shared" si="9"/>
        <v>3687.9166666666665</v>
      </c>
      <c r="BR25" s="410">
        <f t="shared" si="9"/>
        <v>3687.9166666666665</v>
      </c>
      <c r="BS25" s="410">
        <f t="shared" si="9"/>
        <v>3687.9166666666665</v>
      </c>
      <c r="BT25" s="410">
        <f t="shared" ref="BT25:CM25" si="10">$D$25*BT14</f>
        <v>3687.9166666666665</v>
      </c>
      <c r="BU25" s="410">
        <f t="shared" si="10"/>
        <v>3687.9166666666665</v>
      </c>
      <c r="BV25" s="410">
        <f t="shared" si="10"/>
        <v>3687.9166666666665</v>
      </c>
      <c r="BW25" s="410">
        <f t="shared" si="10"/>
        <v>3687.9166666666665</v>
      </c>
      <c r="BX25" s="410">
        <f t="shared" si="10"/>
        <v>3687.9166666666665</v>
      </c>
      <c r="BY25" s="410">
        <f t="shared" si="10"/>
        <v>3687.9166666666665</v>
      </c>
      <c r="BZ25" s="410">
        <f t="shared" si="10"/>
        <v>3687.9166666666665</v>
      </c>
      <c r="CA25" s="410">
        <f t="shared" si="10"/>
        <v>3687.9166666666665</v>
      </c>
      <c r="CB25" s="410">
        <f t="shared" si="10"/>
        <v>3687.9166666666665</v>
      </c>
      <c r="CC25" s="410">
        <f t="shared" si="10"/>
        <v>3687.9166666666665</v>
      </c>
      <c r="CD25" s="410">
        <f t="shared" si="10"/>
        <v>3687.9166666666665</v>
      </c>
      <c r="CE25" s="410">
        <f t="shared" si="10"/>
        <v>3687.9166666666665</v>
      </c>
      <c r="CF25" s="410">
        <f t="shared" si="10"/>
        <v>3687.9166666666665</v>
      </c>
      <c r="CG25" s="410">
        <f t="shared" si="10"/>
        <v>3687.9166666666665</v>
      </c>
      <c r="CH25" s="410">
        <f t="shared" si="10"/>
        <v>3687.9166666666665</v>
      </c>
      <c r="CI25" s="410">
        <f t="shared" si="10"/>
        <v>3687.9166666666665</v>
      </c>
      <c r="CJ25" s="410">
        <f t="shared" si="10"/>
        <v>3687.9166666666665</v>
      </c>
      <c r="CK25" s="410">
        <f t="shared" si="10"/>
        <v>3687.9166666666665</v>
      </c>
      <c r="CL25" s="410">
        <f t="shared" si="10"/>
        <v>3687.9166666666665</v>
      </c>
      <c r="CM25" s="410">
        <f t="shared" si="10"/>
        <v>3687.9166666666665</v>
      </c>
      <c r="CN25" s="58"/>
      <c r="CO25" s="58"/>
      <c r="CP25" s="58"/>
      <c r="CQ25" s="58"/>
      <c r="CR25" s="58"/>
      <c r="CS25" s="58"/>
      <c r="CT25" s="58"/>
      <c r="CU25" s="58"/>
      <c r="CV25" s="58"/>
      <c r="CW25" s="58"/>
      <c r="CX25" s="58"/>
      <c r="CY25" s="58"/>
      <c r="CZ25" s="58"/>
      <c r="DA25" s="58"/>
      <c r="DB25" s="58"/>
      <c r="DC25" s="58"/>
      <c r="DD25" s="58"/>
      <c r="DE25" s="58"/>
      <c r="DF25" s="58"/>
      <c r="DG25" s="58"/>
      <c r="DH25" s="58"/>
      <c r="DI25" s="58"/>
      <c r="DJ25" s="58"/>
      <c r="DK25" s="58"/>
      <c r="DL25" s="58"/>
      <c r="DM25" s="58"/>
      <c r="DN25" s="58"/>
      <c r="DO25" s="58"/>
      <c r="DP25" s="58"/>
      <c r="DQ25" s="58"/>
      <c r="DR25" s="58"/>
      <c r="DS25" s="58"/>
      <c r="DT25" s="58"/>
      <c r="DU25" s="58"/>
      <c r="DV25" s="58"/>
      <c r="DW25" s="58"/>
      <c r="DX25" s="58"/>
      <c r="DY25" s="58"/>
      <c r="DZ25" s="58"/>
      <c r="EA25" s="58"/>
      <c r="EB25" s="58"/>
      <c r="EC25" s="58"/>
      <c r="ED25" s="58"/>
      <c r="EE25" s="58"/>
      <c r="EF25" s="58"/>
      <c r="EG25" s="58"/>
      <c r="EH25" s="58"/>
      <c r="EI25" s="58"/>
      <c r="EJ25" s="58"/>
      <c r="EK25" s="58"/>
      <c r="EL25" s="58"/>
      <c r="EM25" s="58"/>
      <c r="EN25" s="58"/>
      <c r="EO25" s="58"/>
      <c r="EP25" s="58"/>
      <c r="EQ25" s="58"/>
      <c r="ER25" s="58"/>
      <c r="ES25" s="58"/>
      <c r="ET25" s="58"/>
      <c r="EU25" s="58"/>
      <c r="EV25" s="58"/>
      <c r="EW25" s="58"/>
      <c r="EX25" s="58"/>
      <c r="EY25" s="58"/>
      <c r="EZ25" s="58"/>
      <c r="FA25" s="58"/>
      <c r="FB25" s="58"/>
      <c r="FC25" s="58"/>
      <c r="FD25" s="58"/>
      <c r="FE25" s="58"/>
      <c r="FF25" s="58"/>
      <c r="FG25" s="58"/>
      <c r="FH25" s="58"/>
      <c r="FI25" s="58"/>
      <c r="FJ25" s="58"/>
      <c r="FK25" s="58"/>
      <c r="FL25" s="58"/>
      <c r="FM25" s="58"/>
      <c r="FN25" s="58"/>
      <c r="FO25" s="58"/>
      <c r="FP25" s="58"/>
      <c r="FQ25" s="58"/>
      <c r="FR25" s="58"/>
      <c r="FS25" s="58"/>
      <c r="FT25" s="58"/>
      <c r="FU25" s="58"/>
      <c r="FV25" s="58"/>
    </row>
    <row r="26" spans="1:178">
      <c r="A26" s="1058"/>
      <c r="B26" s="2" t="s">
        <v>312</v>
      </c>
      <c r="C26" s="362" t="s">
        <v>313</v>
      </c>
      <c r="D26" s="362">
        <v>0.18049999999999999</v>
      </c>
      <c r="E26" s="58"/>
      <c r="F26" s="382" t="s">
        <v>173</v>
      </c>
      <c r="G26" s="410">
        <f>$D$26*G15</f>
        <v>22562.5</v>
      </c>
      <c r="H26" s="410">
        <f t="shared" ref="H26:BS26" si="11">$D$26*H15</f>
        <v>22562.5</v>
      </c>
      <c r="I26" s="410">
        <f t="shared" si="11"/>
        <v>22562.5</v>
      </c>
      <c r="J26" s="410">
        <f t="shared" si="11"/>
        <v>22562.5</v>
      </c>
      <c r="K26" s="410">
        <f t="shared" si="11"/>
        <v>22562.5</v>
      </c>
      <c r="L26" s="410">
        <f t="shared" si="11"/>
        <v>22562.5</v>
      </c>
      <c r="M26" s="410">
        <f t="shared" si="11"/>
        <v>22562.5</v>
      </c>
      <c r="N26" s="410">
        <f t="shared" si="11"/>
        <v>22562.5</v>
      </c>
      <c r="O26" s="410">
        <f t="shared" si="11"/>
        <v>22562.5</v>
      </c>
      <c r="P26" s="410">
        <f t="shared" si="11"/>
        <v>22562.5</v>
      </c>
      <c r="Q26" s="410">
        <f t="shared" si="11"/>
        <v>22562.5</v>
      </c>
      <c r="R26" s="410">
        <f t="shared" si="11"/>
        <v>22562.5</v>
      </c>
      <c r="S26" s="410">
        <f t="shared" si="11"/>
        <v>22562.5</v>
      </c>
      <c r="T26" s="410">
        <f t="shared" si="11"/>
        <v>22562.5</v>
      </c>
      <c r="U26" s="410">
        <f t="shared" si="11"/>
        <v>22562.5</v>
      </c>
      <c r="V26" s="410">
        <f t="shared" si="11"/>
        <v>22562.5</v>
      </c>
      <c r="W26" s="410">
        <f t="shared" si="11"/>
        <v>22562.5</v>
      </c>
      <c r="X26" s="410">
        <f t="shared" si="11"/>
        <v>22562.5</v>
      </c>
      <c r="Y26" s="410">
        <f t="shared" si="11"/>
        <v>22562.5</v>
      </c>
      <c r="Z26" s="410">
        <f t="shared" si="11"/>
        <v>22562.5</v>
      </c>
      <c r="AA26" s="410">
        <f t="shared" si="11"/>
        <v>22562.5</v>
      </c>
      <c r="AB26" s="410">
        <f t="shared" si="11"/>
        <v>22562.5</v>
      </c>
      <c r="AC26" s="410">
        <f t="shared" si="11"/>
        <v>22562.5</v>
      </c>
      <c r="AD26" s="410">
        <f t="shared" si="11"/>
        <v>22562.5</v>
      </c>
      <c r="AE26" s="410">
        <f t="shared" si="11"/>
        <v>22562.5</v>
      </c>
      <c r="AF26" s="410">
        <f t="shared" si="11"/>
        <v>22562.5</v>
      </c>
      <c r="AG26" s="410">
        <f t="shared" si="11"/>
        <v>22562.5</v>
      </c>
      <c r="AH26" s="410">
        <f t="shared" si="11"/>
        <v>22562.5</v>
      </c>
      <c r="AI26" s="410">
        <f t="shared" si="11"/>
        <v>22562.5</v>
      </c>
      <c r="AJ26" s="410">
        <f t="shared" si="11"/>
        <v>22562.5</v>
      </c>
      <c r="AK26" s="410">
        <f t="shared" si="11"/>
        <v>22562.5</v>
      </c>
      <c r="AL26" s="410">
        <f t="shared" si="11"/>
        <v>22562.5</v>
      </c>
      <c r="AM26" s="410">
        <f t="shared" si="11"/>
        <v>22562.5</v>
      </c>
      <c r="AN26" s="410">
        <f t="shared" si="11"/>
        <v>22562.5</v>
      </c>
      <c r="AO26" s="410">
        <f t="shared" si="11"/>
        <v>22562.5</v>
      </c>
      <c r="AP26" s="410">
        <f t="shared" si="11"/>
        <v>22562.5</v>
      </c>
      <c r="AQ26" s="410">
        <f t="shared" si="11"/>
        <v>22562.5</v>
      </c>
      <c r="AR26" s="410">
        <f t="shared" si="11"/>
        <v>22562.5</v>
      </c>
      <c r="AS26" s="410">
        <f t="shared" si="11"/>
        <v>22562.5</v>
      </c>
      <c r="AT26" s="410">
        <f t="shared" si="11"/>
        <v>22562.5</v>
      </c>
      <c r="AU26" s="410">
        <f t="shared" si="11"/>
        <v>22562.5</v>
      </c>
      <c r="AV26" s="410">
        <f t="shared" si="11"/>
        <v>22562.5</v>
      </c>
      <c r="AW26" s="410">
        <f t="shared" si="11"/>
        <v>22562.5</v>
      </c>
      <c r="AX26" s="410">
        <f t="shared" si="11"/>
        <v>22562.5</v>
      </c>
      <c r="AY26" s="410">
        <f t="shared" si="11"/>
        <v>22562.5</v>
      </c>
      <c r="AZ26" s="410">
        <f t="shared" si="11"/>
        <v>22562.5</v>
      </c>
      <c r="BA26" s="410">
        <f t="shared" si="11"/>
        <v>22562.5</v>
      </c>
      <c r="BB26" s="410">
        <f t="shared" si="11"/>
        <v>22562.5</v>
      </c>
      <c r="BC26" s="410">
        <f t="shared" si="11"/>
        <v>22562.5</v>
      </c>
      <c r="BD26" s="410">
        <f t="shared" si="11"/>
        <v>22562.5</v>
      </c>
      <c r="BE26" s="410">
        <f t="shared" si="11"/>
        <v>22562.5</v>
      </c>
      <c r="BF26" s="410">
        <f t="shared" si="11"/>
        <v>22562.5</v>
      </c>
      <c r="BG26" s="410">
        <f t="shared" si="11"/>
        <v>22562.5</v>
      </c>
      <c r="BH26" s="410">
        <f t="shared" si="11"/>
        <v>22562.5</v>
      </c>
      <c r="BI26" s="410">
        <f t="shared" si="11"/>
        <v>22562.5</v>
      </c>
      <c r="BJ26" s="410">
        <f t="shared" si="11"/>
        <v>22562.5</v>
      </c>
      <c r="BK26" s="410">
        <f t="shared" si="11"/>
        <v>22562.5</v>
      </c>
      <c r="BL26" s="410">
        <f t="shared" si="11"/>
        <v>22562.5</v>
      </c>
      <c r="BM26" s="410">
        <f t="shared" si="11"/>
        <v>22562.5</v>
      </c>
      <c r="BN26" s="410">
        <f t="shared" si="11"/>
        <v>22562.5</v>
      </c>
      <c r="BO26" s="410">
        <f t="shared" si="11"/>
        <v>22562.5</v>
      </c>
      <c r="BP26" s="410">
        <f t="shared" si="11"/>
        <v>22562.5</v>
      </c>
      <c r="BQ26" s="410">
        <f t="shared" si="11"/>
        <v>22562.5</v>
      </c>
      <c r="BR26" s="410">
        <f t="shared" si="11"/>
        <v>22562.5</v>
      </c>
      <c r="BS26" s="410">
        <f t="shared" si="11"/>
        <v>22562.5</v>
      </c>
      <c r="BT26" s="410">
        <f t="shared" ref="BT26:CM26" si="12">$D$26*BT15</f>
        <v>22562.5</v>
      </c>
      <c r="BU26" s="410">
        <f t="shared" si="12"/>
        <v>22562.5</v>
      </c>
      <c r="BV26" s="410">
        <f t="shared" si="12"/>
        <v>22562.5</v>
      </c>
      <c r="BW26" s="410">
        <f t="shared" si="12"/>
        <v>22562.5</v>
      </c>
      <c r="BX26" s="410">
        <f t="shared" si="12"/>
        <v>22562.5</v>
      </c>
      <c r="BY26" s="410">
        <f t="shared" si="12"/>
        <v>22562.5</v>
      </c>
      <c r="BZ26" s="410">
        <f t="shared" si="12"/>
        <v>22562.5</v>
      </c>
      <c r="CA26" s="410">
        <f t="shared" si="12"/>
        <v>22562.5</v>
      </c>
      <c r="CB26" s="410">
        <f t="shared" si="12"/>
        <v>22562.5</v>
      </c>
      <c r="CC26" s="410">
        <f t="shared" si="12"/>
        <v>22562.5</v>
      </c>
      <c r="CD26" s="410">
        <f t="shared" si="12"/>
        <v>22562.5</v>
      </c>
      <c r="CE26" s="410">
        <f t="shared" si="12"/>
        <v>22562.5</v>
      </c>
      <c r="CF26" s="410">
        <f t="shared" si="12"/>
        <v>22562.5</v>
      </c>
      <c r="CG26" s="410">
        <f t="shared" si="12"/>
        <v>22562.5</v>
      </c>
      <c r="CH26" s="410">
        <f t="shared" si="12"/>
        <v>22562.5</v>
      </c>
      <c r="CI26" s="410">
        <f t="shared" si="12"/>
        <v>22562.5</v>
      </c>
      <c r="CJ26" s="410">
        <f t="shared" si="12"/>
        <v>22562.5</v>
      </c>
      <c r="CK26" s="410">
        <f t="shared" si="12"/>
        <v>22562.5</v>
      </c>
      <c r="CL26" s="410">
        <f t="shared" si="12"/>
        <v>22562.5</v>
      </c>
      <c r="CM26" s="410">
        <f t="shared" si="12"/>
        <v>22562.5</v>
      </c>
      <c r="CN26" s="58"/>
      <c r="CO26" s="58"/>
      <c r="CP26" s="58"/>
      <c r="CQ26" s="58"/>
      <c r="CR26" s="58"/>
      <c r="CS26" s="58"/>
      <c r="CT26" s="58"/>
      <c r="CU26" s="58"/>
      <c r="CV26" s="58"/>
      <c r="CW26" s="58"/>
      <c r="CX26" s="58"/>
      <c r="CY26" s="58"/>
      <c r="CZ26" s="58"/>
      <c r="DA26" s="58"/>
      <c r="DB26" s="58"/>
      <c r="DC26" s="58"/>
      <c r="DD26" s="58"/>
      <c r="DE26" s="58"/>
      <c r="DF26" s="58"/>
      <c r="DG26" s="58"/>
      <c r="DH26" s="58"/>
      <c r="DI26" s="58"/>
      <c r="DJ26" s="58"/>
      <c r="DK26" s="58"/>
      <c r="DL26" s="58"/>
      <c r="DM26" s="58"/>
      <c r="DN26" s="58"/>
      <c r="DO26" s="58"/>
      <c r="DP26" s="58"/>
      <c r="DQ26" s="58"/>
      <c r="DR26" s="58"/>
      <c r="DS26" s="58"/>
      <c r="DT26" s="58"/>
      <c r="DU26" s="58"/>
      <c r="DV26" s="58"/>
      <c r="DW26" s="58"/>
      <c r="DX26" s="58"/>
      <c r="DY26" s="58"/>
      <c r="DZ26" s="58"/>
      <c r="EA26" s="58"/>
      <c r="EB26" s="58"/>
      <c r="EC26" s="58"/>
      <c r="ED26" s="58"/>
      <c r="EE26" s="58"/>
      <c r="EF26" s="58"/>
      <c r="EG26" s="58"/>
      <c r="EH26" s="58"/>
      <c r="EI26" s="58"/>
      <c r="EJ26" s="58"/>
      <c r="EK26" s="58"/>
      <c r="EL26" s="58"/>
      <c r="EM26" s="58"/>
      <c r="EN26" s="58"/>
      <c r="EO26" s="58"/>
      <c r="EP26" s="58"/>
      <c r="EQ26" s="58"/>
      <c r="ER26" s="58"/>
      <c r="ES26" s="58"/>
      <c r="ET26" s="58"/>
      <c r="EU26" s="58"/>
      <c r="EV26" s="58"/>
      <c r="EW26" s="58"/>
      <c r="EX26" s="58"/>
      <c r="EY26" s="58"/>
      <c r="EZ26" s="58"/>
      <c r="FA26" s="58"/>
      <c r="FB26" s="58"/>
      <c r="FC26" s="58"/>
      <c r="FD26" s="58"/>
      <c r="FE26" s="58"/>
      <c r="FF26" s="58"/>
      <c r="FG26" s="58"/>
      <c r="FH26" s="58"/>
      <c r="FI26" s="58"/>
      <c r="FJ26" s="58"/>
      <c r="FK26" s="58"/>
      <c r="FL26" s="58"/>
      <c r="FM26" s="58"/>
      <c r="FN26" s="58"/>
      <c r="FO26" s="58"/>
      <c r="FP26" s="58"/>
      <c r="FQ26" s="58"/>
      <c r="FR26" s="58"/>
      <c r="FS26" s="58"/>
      <c r="FT26" s="58"/>
      <c r="FU26" s="58"/>
      <c r="FV26" s="58"/>
    </row>
    <row r="27" spans="1:178">
      <c r="A27" s="1058"/>
      <c r="B27" s="2" t="s">
        <v>312</v>
      </c>
      <c r="C27" s="362" t="s">
        <v>313</v>
      </c>
      <c r="D27" s="362">
        <v>1.8104</v>
      </c>
      <c r="E27" s="58"/>
      <c r="F27" s="382" t="s">
        <v>174</v>
      </c>
      <c r="G27" s="410">
        <v>200391.36559999999</v>
      </c>
      <c r="H27" s="410">
        <v>200391.36559999999</v>
      </c>
      <c r="I27" s="410">
        <v>200391.36559999999</v>
      </c>
      <c r="J27" s="410">
        <v>200391.36559999999</v>
      </c>
      <c r="K27" s="410">
        <v>200391.36559999999</v>
      </c>
      <c r="L27" s="410">
        <v>200391.36559999999</v>
      </c>
      <c r="M27" s="410">
        <v>200391.36559999999</v>
      </c>
      <c r="N27" s="410">
        <v>200391.36559999999</v>
      </c>
      <c r="O27" s="410">
        <v>200391.36559999999</v>
      </c>
      <c r="P27" s="410">
        <v>200391.36559999999</v>
      </c>
      <c r="Q27" s="410">
        <v>200391.36559999999</v>
      </c>
      <c r="R27" s="410">
        <v>200391.36559999999</v>
      </c>
      <c r="S27" s="410">
        <v>200391.36559999999</v>
      </c>
      <c r="T27" s="411">
        <f t="shared" ref="T27:AS27" si="13">$D$27*T16</f>
        <v>165722.50733333334</v>
      </c>
      <c r="U27" s="410">
        <f t="shared" si="13"/>
        <v>165722.50733333334</v>
      </c>
      <c r="V27" s="411">
        <f t="shared" si="13"/>
        <v>165722.50733333334</v>
      </c>
      <c r="W27" s="410">
        <f t="shared" si="13"/>
        <v>165722.50733333334</v>
      </c>
      <c r="X27" s="411">
        <f t="shared" si="13"/>
        <v>165722.50733333334</v>
      </c>
      <c r="Y27" s="410">
        <f t="shared" si="13"/>
        <v>165722.50733333334</v>
      </c>
      <c r="Z27" s="411">
        <f t="shared" si="13"/>
        <v>165722.50733333334</v>
      </c>
      <c r="AA27" s="410">
        <f t="shared" si="13"/>
        <v>165722.50733333334</v>
      </c>
      <c r="AB27" s="411">
        <f t="shared" si="13"/>
        <v>165722.50733333334</v>
      </c>
      <c r="AC27" s="410">
        <f t="shared" si="13"/>
        <v>165722.50733333334</v>
      </c>
      <c r="AD27" s="411">
        <f t="shared" si="13"/>
        <v>165722.50733333334</v>
      </c>
      <c r="AE27" s="410">
        <f t="shared" si="13"/>
        <v>165722.50733333334</v>
      </c>
      <c r="AF27" s="411">
        <f t="shared" si="13"/>
        <v>165722.50733333334</v>
      </c>
      <c r="AG27" s="410">
        <f t="shared" si="13"/>
        <v>165722.50733333334</v>
      </c>
      <c r="AH27" s="411">
        <f t="shared" si="13"/>
        <v>165722.50733333334</v>
      </c>
      <c r="AI27" s="410">
        <f t="shared" si="13"/>
        <v>165722.50733333334</v>
      </c>
      <c r="AJ27" s="411">
        <f t="shared" si="13"/>
        <v>165722.50733333334</v>
      </c>
      <c r="AK27" s="410">
        <f t="shared" si="13"/>
        <v>165722.50733333334</v>
      </c>
      <c r="AL27" s="411">
        <f t="shared" si="13"/>
        <v>165722.50733333334</v>
      </c>
      <c r="AM27" s="410">
        <f t="shared" si="13"/>
        <v>165722.50733333334</v>
      </c>
      <c r="AN27" s="411">
        <f t="shared" si="13"/>
        <v>165722.50733333334</v>
      </c>
      <c r="AO27" s="410">
        <f t="shared" si="13"/>
        <v>165722.50733333334</v>
      </c>
      <c r="AP27" s="411">
        <f t="shared" si="13"/>
        <v>165722.50733333334</v>
      </c>
      <c r="AQ27" s="410">
        <f t="shared" si="13"/>
        <v>165722.50733333334</v>
      </c>
      <c r="AR27" s="411">
        <f t="shared" si="13"/>
        <v>165722.50733333334</v>
      </c>
      <c r="AS27" s="410">
        <f t="shared" si="13"/>
        <v>165722.50733333334</v>
      </c>
      <c r="AT27" s="411">
        <f>$D$27*AT16</f>
        <v>165722.50733333334</v>
      </c>
      <c r="AU27" s="410">
        <f t="shared" ref="AU27:CL27" si="14">$D$27*AU16</f>
        <v>165722.50733333334</v>
      </c>
      <c r="AV27" s="410">
        <f t="shared" si="14"/>
        <v>165722.50733333334</v>
      </c>
      <c r="AW27" s="410">
        <f t="shared" si="14"/>
        <v>165722.50733333334</v>
      </c>
      <c r="AX27" s="410">
        <f t="shared" si="14"/>
        <v>165722.50733333334</v>
      </c>
      <c r="AY27" s="410">
        <f t="shared" si="14"/>
        <v>165722.50733333334</v>
      </c>
      <c r="AZ27" s="410">
        <f t="shared" si="14"/>
        <v>165722.50733333334</v>
      </c>
      <c r="BA27" s="410">
        <f t="shared" si="14"/>
        <v>165722.50733333334</v>
      </c>
      <c r="BB27" s="410">
        <f t="shared" si="14"/>
        <v>165722.50733333334</v>
      </c>
      <c r="BC27" s="410">
        <f t="shared" si="14"/>
        <v>165722.50733333334</v>
      </c>
      <c r="BD27" s="410">
        <f t="shared" si="14"/>
        <v>165722.50733333334</v>
      </c>
      <c r="BE27" s="410">
        <f t="shared" si="14"/>
        <v>165722.50733333334</v>
      </c>
      <c r="BF27" s="410">
        <f t="shared" si="14"/>
        <v>165722.50733333334</v>
      </c>
      <c r="BG27" s="410">
        <f t="shared" si="14"/>
        <v>165722.50733333334</v>
      </c>
      <c r="BH27" s="410">
        <f t="shared" si="14"/>
        <v>165722.50733333334</v>
      </c>
      <c r="BI27" s="410">
        <f t="shared" si="14"/>
        <v>165722.50733333334</v>
      </c>
      <c r="BJ27" s="410">
        <f t="shared" si="14"/>
        <v>165722.50733333334</v>
      </c>
      <c r="BK27" s="410">
        <f t="shared" si="14"/>
        <v>165722.50733333334</v>
      </c>
      <c r="BL27" s="410">
        <f t="shared" si="14"/>
        <v>165722.50733333334</v>
      </c>
      <c r="BM27" s="410">
        <f t="shared" si="14"/>
        <v>165722.50733333334</v>
      </c>
      <c r="BN27" s="410">
        <f t="shared" si="14"/>
        <v>165722.50733333334</v>
      </c>
      <c r="BO27" s="410">
        <f t="shared" si="14"/>
        <v>165722.50733333334</v>
      </c>
      <c r="BP27" s="410">
        <f t="shared" si="14"/>
        <v>165722.50733333334</v>
      </c>
      <c r="BQ27" s="410">
        <f t="shared" si="14"/>
        <v>165722.50733333334</v>
      </c>
      <c r="BR27" s="410">
        <f t="shared" si="14"/>
        <v>165722.50733333334</v>
      </c>
      <c r="BS27" s="410">
        <f t="shared" si="14"/>
        <v>165722.50733333334</v>
      </c>
      <c r="BT27" s="410">
        <f t="shared" si="14"/>
        <v>165722.50733333334</v>
      </c>
      <c r="BU27" s="410">
        <f t="shared" si="14"/>
        <v>165722.50733333334</v>
      </c>
      <c r="BV27" s="410">
        <f t="shared" si="14"/>
        <v>165722.50733333334</v>
      </c>
      <c r="BW27" s="410">
        <f t="shared" si="14"/>
        <v>165722.50733333334</v>
      </c>
      <c r="BX27" s="410">
        <f t="shared" si="14"/>
        <v>165722.50733333334</v>
      </c>
      <c r="BY27" s="410">
        <f t="shared" si="14"/>
        <v>165722.50733333334</v>
      </c>
      <c r="BZ27" s="410">
        <f t="shared" si="14"/>
        <v>165722.50733333334</v>
      </c>
      <c r="CA27" s="410">
        <f t="shared" si="14"/>
        <v>165722.50733333334</v>
      </c>
      <c r="CB27" s="410">
        <f t="shared" si="14"/>
        <v>165722.50733333334</v>
      </c>
      <c r="CC27" s="410">
        <f t="shared" si="14"/>
        <v>165722.50733333334</v>
      </c>
      <c r="CD27" s="410">
        <f t="shared" si="14"/>
        <v>165722.50733333334</v>
      </c>
      <c r="CE27" s="410">
        <f t="shared" si="14"/>
        <v>165722.50733333334</v>
      </c>
      <c r="CF27" s="410">
        <f t="shared" si="14"/>
        <v>165722.50733333334</v>
      </c>
      <c r="CG27" s="410">
        <f t="shared" si="14"/>
        <v>165722.50733333334</v>
      </c>
      <c r="CH27" s="410">
        <f t="shared" si="14"/>
        <v>165722.50733333334</v>
      </c>
      <c r="CI27" s="410">
        <f t="shared" si="14"/>
        <v>165722.50733333334</v>
      </c>
      <c r="CJ27" s="410">
        <f t="shared" si="14"/>
        <v>165722.50733333334</v>
      </c>
      <c r="CK27" s="410">
        <f t="shared" si="14"/>
        <v>165722.50733333334</v>
      </c>
      <c r="CL27" s="412">
        <f t="shared" si="14"/>
        <v>165722.50733333334</v>
      </c>
      <c r="CM27" s="319">
        <f t="shared" ref="CM27:CM55" si="15">AVERAGE(G27:CL27)</f>
        <v>171087.92587460292</v>
      </c>
      <c r="CN27" s="58"/>
      <c r="CO27" s="58"/>
      <c r="CP27" s="58"/>
      <c r="CQ27" s="58"/>
      <c r="CR27" s="58"/>
      <c r="CS27" s="58"/>
      <c r="CT27" s="58"/>
      <c r="CU27" s="58"/>
      <c r="CV27" s="58"/>
      <c r="CW27" s="58"/>
      <c r="CX27" s="58"/>
      <c r="CY27" s="58"/>
      <c r="CZ27" s="58"/>
      <c r="DA27" s="58"/>
      <c r="DB27" s="58"/>
      <c r="DC27" s="58"/>
      <c r="DD27" s="58"/>
      <c r="DE27" s="58"/>
      <c r="DF27" s="58"/>
      <c r="DG27" s="58"/>
      <c r="DH27" s="58"/>
      <c r="DI27" s="58"/>
      <c r="DJ27" s="58"/>
      <c r="DK27" s="58"/>
      <c r="DL27" s="58"/>
      <c r="DM27" s="58"/>
      <c r="DN27" s="58"/>
      <c r="DO27" s="58"/>
      <c r="DP27" s="58"/>
      <c r="DQ27" s="58"/>
      <c r="DR27" s="58"/>
      <c r="DS27" s="58"/>
      <c r="DT27" s="58"/>
      <c r="DU27" s="58"/>
      <c r="DV27" s="58"/>
      <c r="DW27" s="58"/>
      <c r="DX27" s="58"/>
      <c r="DY27" s="58"/>
      <c r="DZ27" s="58"/>
      <c r="EA27" s="58"/>
      <c r="EB27" s="58"/>
      <c r="EC27" s="58"/>
      <c r="ED27" s="58"/>
      <c r="EE27" s="58"/>
      <c r="EF27" s="58"/>
      <c r="EG27" s="58"/>
      <c r="EH27" s="58"/>
      <c r="EI27" s="58"/>
      <c r="EJ27" s="58"/>
      <c r="EK27" s="58"/>
      <c r="EL27" s="58"/>
      <c r="EM27" s="58"/>
      <c r="EN27" s="58"/>
      <c r="EO27" s="58"/>
      <c r="EP27" s="58"/>
      <c r="EQ27" s="58"/>
      <c r="ER27" s="58"/>
      <c r="ES27" s="58"/>
      <c r="ET27" s="58"/>
      <c r="EU27" s="58"/>
      <c r="EV27" s="58"/>
      <c r="EW27" s="58"/>
      <c r="EX27" s="58"/>
      <c r="EY27" s="58"/>
      <c r="EZ27" s="58"/>
      <c r="FA27" s="58"/>
      <c r="FB27" s="58"/>
      <c r="FC27" s="58"/>
      <c r="FD27" s="58"/>
      <c r="FE27" s="58"/>
      <c r="FF27" s="58"/>
      <c r="FG27" s="58"/>
      <c r="FH27" s="58"/>
      <c r="FI27" s="58"/>
      <c r="FJ27" s="58"/>
      <c r="FK27" s="58"/>
      <c r="FL27" s="58"/>
      <c r="FM27" s="58"/>
      <c r="FN27" s="58"/>
      <c r="FO27" s="58"/>
      <c r="FP27" s="58"/>
      <c r="FQ27" s="58"/>
      <c r="FR27" s="58"/>
      <c r="FS27" s="58"/>
      <c r="FT27" s="58"/>
      <c r="FU27" s="58"/>
      <c r="FV27" s="58"/>
    </row>
    <row r="28" spans="1:178">
      <c r="A28" s="1058"/>
      <c r="B28" s="2" t="s">
        <v>312</v>
      </c>
      <c r="C28" s="362" t="s">
        <v>143</v>
      </c>
      <c r="D28" s="362"/>
      <c r="E28" s="58"/>
      <c r="F28" s="413" t="s">
        <v>318</v>
      </c>
      <c r="G28" s="414">
        <f>(G29*G2+G30*G3+G31*G4+G32*G5)/SUM(G29:G32)</f>
        <v>27880.811243565884</v>
      </c>
      <c r="H28" s="414">
        <f t="shared" ref="H28:BS28" si="16">(H29*H2+H30*H3+H31*H4+H32*H5)/SUM(H29:H32)</f>
        <v>27225.108842054669</v>
      </c>
      <c r="I28" s="414">
        <f t="shared" si="16"/>
        <v>22922.762660049517</v>
      </c>
      <c r="J28" s="414">
        <f t="shared" si="16"/>
        <v>21658.133114252021</v>
      </c>
      <c r="K28" s="414">
        <f t="shared" si="16"/>
        <v>21913.911244124763</v>
      </c>
      <c r="L28" s="414">
        <f t="shared" si="16"/>
        <v>22580.898848146469</v>
      </c>
      <c r="M28" s="414">
        <f t="shared" si="16"/>
        <v>22130.622341822731</v>
      </c>
      <c r="N28" s="414">
        <f t="shared" si="16"/>
        <v>21817.374768763028</v>
      </c>
      <c r="O28" s="414">
        <f t="shared" si="16"/>
        <v>21453.996277853224</v>
      </c>
      <c r="P28" s="414">
        <f t="shared" si="16"/>
        <v>21126.531193937262</v>
      </c>
      <c r="Q28" s="414">
        <f t="shared" si="16"/>
        <v>20897.675782014092</v>
      </c>
      <c r="R28" s="414">
        <f t="shared" si="16"/>
        <v>20211.406060504443</v>
      </c>
      <c r="S28" s="414">
        <f t="shared" si="16"/>
        <v>21097.131770143464</v>
      </c>
      <c r="T28" s="414">
        <f t="shared" si="16"/>
        <v>20643.25707124055</v>
      </c>
      <c r="U28" s="414">
        <f t="shared" si="16"/>
        <v>19609.052926020933</v>
      </c>
      <c r="V28" s="414">
        <f t="shared" si="16"/>
        <v>22574.595990588445</v>
      </c>
      <c r="W28" s="414">
        <f t="shared" si="16"/>
        <v>21318.762936695555</v>
      </c>
      <c r="X28" s="414">
        <f t="shared" si="16"/>
        <v>19333.110247640125</v>
      </c>
      <c r="Y28" s="414">
        <f t="shared" si="16"/>
        <v>13108.084916363474</v>
      </c>
      <c r="Z28" s="414">
        <f t="shared" si="16"/>
        <v>14928.814929385397</v>
      </c>
      <c r="AA28" s="414">
        <f t="shared" si="16"/>
        <v>14234.222686093366</v>
      </c>
      <c r="AB28" s="414">
        <f t="shared" si="16"/>
        <v>14399.358795946995</v>
      </c>
      <c r="AC28" s="414">
        <f t="shared" si="16"/>
        <v>15657.564673697389</v>
      </c>
      <c r="AD28" s="414">
        <f t="shared" si="16"/>
        <v>14942.891778303125</v>
      </c>
      <c r="AE28" s="414">
        <f t="shared" si="16"/>
        <v>11873.83532574373</v>
      </c>
      <c r="AF28" s="414">
        <f t="shared" si="16"/>
        <v>16116.04672803179</v>
      </c>
      <c r="AG28" s="414">
        <f t="shared" si="16"/>
        <v>16145.276442052433</v>
      </c>
      <c r="AH28" s="414">
        <f t="shared" si="16"/>
        <v>19205.492597622517</v>
      </c>
      <c r="AI28" s="414">
        <f t="shared" si="16"/>
        <v>20488.068865304114</v>
      </c>
      <c r="AJ28" s="414">
        <f t="shared" si="16"/>
        <v>24300.176114548231</v>
      </c>
      <c r="AK28" s="414">
        <f t="shared" si="16"/>
        <v>24863.343641891472</v>
      </c>
      <c r="AL28" s="414">
        <f t="shared" si="16"/>
        <v>21164.880251384628</v>
      </c>
      <c r="AM28" s="414">
        <f t="shared" si="16"/>
        <v>20189.898529584359</v>
      </c>
      <c r="AN28" s="414">
        <f t="shared" si="16"/>
        <v>21080.095216538401</v>
      </c>
      <c r="AO28" s="414">
        <f t="shared" si="16"/>
        <v>16276.816217605865</v>
      </c>
      <c r="AP28" s="414">
        <f t="shared" si="16"/>
        <v>17590.031473377709</v>
      </c>
      <c r="AQ28" s="414">
        <f t="shared" si="16"/>
        <v>29586.202292529437</v>
      </c>
      <c r="AR28" s="414">
        <f t="shared" si="16"/>
        <v>29661.276894745959</v>
      </c>
      <c r="AS28" s="414">
        <f t="shared" si="16"/>
        <v>30389.372393519217</v>
      </c>
      <c r="AT28" s="414">
        <f t="shared" si="16"/>
        <v>29613.567373090424</v>
      </c>
      <c r="AU28" s="414">
        <f t="shared" si="16"/>
        <v>29491.891087874821</v>
      </c>
      <c r="AV28" s="414">
        <f t="shared" si="16"/>
        <v>34453.708826333917</v>
      </c>
      <c r="AW28" s="414">
        <f t="shared" si="16"/>
        <v>33780.118810319451</v>
      </c>
      <c r="AX28" s="414">
        <f t="shared" si="16"/>
        <v>27247.156564776084</v>
      </c>
      <c r="AY28" s="414">
        <f t="shared" si="16"/>
        <v>36387.040680792205</v>
      </c>
      <c r="AZ28" s="414">
        <f t="shared" si="16"/>
        <v>40612.563368043833</v>
      </c>
      <c r="BA28" s="414">
        <f t="shared" si="16"/>
        <v>42001.737817488633</v>
      </c>
      <c r="BB28" s="414">
        <f t="shared" si="16"/>
        <v>42514.81727762919</v>
      </c>
      <c r="BC28" s="414">
        <f t="shared" si="16"/>
        <v>27674.526903211674</v>
      </c>
      <c r="BD28" s="414">
        <f t="shared" si="16"/>
        <v>24239.409803734954</v>
      </c>
      <c r="BE28" s="414">
        <f t="shared" si="16"/>
        <v>23843.932696165622</v>
      </c>
      <c r="BF28" s="414">
        <f t="shared" si="16"/>
        <v>24463.035911986812</v>
      </c>
      <c r="BG28" s="414">
        <f t="shared" si="16"/>
        <v>24136.136432178228</v>
      </c>
      <c r="BH28" s="414">
        <f t="shared" si="16"/>
        <v>24336.430605163278</v>
      </c>
      <c r="BI28" s="414">
        <f t="shared" si="16"/>
        <v>25699.055886010046</v>
      </c>
      <c r="BJ28" s="414">
        <f t="shared" si="16"/>
        <v>25598.497613802869</v>
      </c>
      <c r="BK28" s="414">
        <f t="shared" si="16"/>
        <v>25347.132068101706</v>
      </c>
      <c r="BL28" s="414">
        <f t="shared" si="16"/>
        <v>25570.409109595941</v>
      </c>
      <c r="BM28" s="414">
        <f t="shared" si="16"/>
        <v>26163.629059032715</v>
      </c>
      <c r="BN28" s="414">
        <f t="shared" si="16"/>
        <v>25143.684332721474</v>
      </c>
      <c r="BO28" s="414">
        <f t="shared" si="16"/>
        <v>23788.289218287926</v>
      </c>
      <c r="BP28" s="414">
        <f t="shared" si="16"/>
        <v>23805.005594188271</v>
      </c>
      <c r="BQ28" s="414">
        <f t="shared" si="16"/>
        <v>24311.067359401786</v>
      </c>
      <c r="BR28" s="414">
        <f t="shared" si="16"/>
        <v>24980.443740618757</v>
      </c>
      <c r="BS28" s="414">
        <f t="shared" si="16"/>
        <v>25014.083907569995</v>
      </c>
      <c r="BT28" s="414">
        <f t="shared" ref="BT28:CM28" si="17">(BT29*BT2+BT30*BT3+BT31*BT4+BT32*BT5)/SUM(BT29:BT32)</f>
        <v>23690.166296390194</v>
      </c>
      <c r="BU28" s="414">
        <f t="shared" si="17"/>
        <v>21650.978865122775</v>
      </c>
      <c r="BV28" s="414">
        <f t="shared" si="17"/>
        <v>21780.269775072516</v>
      </c>
      <c r="BW28" s="414">
        <f t="shared" si="17"/>
        <v>22429.736512885069</v>
      </c>
      <c r="BX28" s="414">
        <f t="shared" si="17"/>
        <v>21366.973371441116</v>
      </c>
      <c r="BY28" s="414">
        <f t="shared" si="17"/>
        <v>21796.020823683397</v>
      </c>
      <c r="BZ28" s="414">
        <f t="shared" si="17"/>
        <v>22417.848737825625</v>
      </c>
      <c r="CA28" s="414">
        <f t="shared" si="17"/>
        <v>19478.710989790521</v>
      </c>
      <c r="CB28" s="414">
        <f t="shared" si="17"/>
        <v>19188.741653804209</v>
      </c>
      <c r="CC28" s="414">
        <f t="shared" si="17"/>
        <v>20553.604687653587</v>
      </c>
      <c r="CD28" s="414">
        <f t="shared" si="17"/>
        <v>20190.566220469431</v>
      </c>
      <c r="CE28" s="414">
        <f t="shared" si="17"/>
        <v>20976.56909539269</v>
      </c>
      <c r="CF28" s="414">
        <f t="shared" si="17"/>
        <v>21285.965788884932</v>
      </c>
      <c r="CG28" s="414">
        <f t="shared" si="17"/>
        <v>20746.758212432149</v>
      </c>
      <c r="CH28" s="414">
        <f t="shared" si="17"/>
        <v>20988.684889581797</v>
      </c>
      <c r="CI28" s="414">
        <f t="shared" si="17"/>
        <v>21147.784623459374</v>
      </c>
      <c r="CJ28" s="414">
        <f t="shared" si="17"/>
        <v>21675.804662196671</v>
      </c>
      <c r="CK28" s="414">
        <f t="shared" si="17"/>
        <v>20972.79809245955</v>
      </c>
      <c r="CL28" s="414">
        <f t="shared" si="17"/>
        <v>21108.870463217765</v>
      </c>
      <c r="CM28" s="414">
        <f t="shared" si="17"/>
        <v>23169.775236828224</v>
      </c>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58"/>
      <c r="EI28" s="58"/>
      <c r="EJ28" s="58"/>
      <c r="EK28" s="58"/>
      <c r="EL28" s="58"/>
      <c r="EM28" s="58"/>
      <c r="EN28" s="58"/>
      <c r="EO28" s="58"/>
      <c r="EP28" s="58"/>
      <c r="EQ28" s="58"/>
      <c r="ER28" s="58"/>
      <c r="ES28" s="58"/>
      <c r="ET28" s="58"/>
      <c r="EU28" s="58"/>
      <c r="EV28" s="58"/>
      <c r="EW28" s="58"/>
      <c r="EX28" s="58"/>
      <c r="EY28" s="58"/>
      <c r="EZ28" s="58"/>
      <c r="FA28" s="58"/>
      <c r="FB28" s="58"/>
      <c r="FC28" s="58"/>
      <c r="FD28" s="58"/>
      <c r="FE28" s="58"/>
      <c r="FF28" s="58"/>
      <c r="FG28" s="58"/>
      <c r="FH28" s="58"/>
      <c r="FI28" s="58"/>
      <c r="FJ28" s="58"/>
      <c r="FK28" s="58"/>
      <c r="FL28" s="58"/>
      <c r="FM28" s="58"/>
      <c r="FN28" s="58"/>
      <c r="FO28" s="58"/>
      <c r="FP28" s="58"/>
      <c r="FQ28" s="58"/>
      <c r="FR28" s="58"/>
      <c r="FS28" s="58"/>
      <c r="FT28" s="58"/>
      <c r="FU28" s="58"/>
      <c r="FV28" s="58"/>
    </row>
    <row r="29" spans="1:178">
      <c r="A29" s="1058"/>
      <c r="B29" s="2" t="s">
        <v>312</v>
      </c>
      <c r="C29" s="362" t="s">
        <v>313</v>
      </c>
      <c r="D29" s="362">
        <v>0.622</v>
      </c>
      <c r="E29" s="58"/>
      <c r="F29" s="27" t="s">
        <v>175</v>
      </c>
      <c r="G29" s="411">
        <f>$D$29*G12</f>
        <v>27730.833333333336</v>
      </c>
      <c r="H29" s="411">
        <f t="shared" ref="H29:BS29" si="18">$D$29*H12</f>
        <v>27730.833333333336</v>
      </c>
      <c r="I29" s="411">
        <f t="shared" si="18"/>
        <v>27730.833333333336</v>
      </c>
      <c r="J29" s="411">
        <f t="shared" si="18"/>
        <v>27730.833333333336</v>
      </c>
      <c r="K29" s="411">
        <f t="shared" si="18"/>
        <v>27730.833333333336</v>
      </c>
      <c r="L29" s="411">
        <f t="shared" si="18"/>
        <v>27730.833333333336</v>
      </c>
      <c r="M29" s="411">
        <f t="shared" si="18"/>
        <v>27730.833333333336</v>
      </c>
      <c r="N29" s="411">
        <f t="shared" si="18"/>
        <v>27730.833333333336</v>
      </c>
      <c r="O29" s="411">
        <f t="shared" si="18"/>
        <v>27730.833333333336</v>
      </c>
      <c r="P29" s="411">
        <f t="shared" si="18"/>
        <v>27730.833333333336</v>
      </c>
      <c r="Q29" s="411">
        <f t="shared" si="18"/>
        <v>27730.833333333336</v>
      </c>
      <c r="R29" s="411">
        <f t="shared" si="18"/>
        <v>27730.833333333336</v>
      </c>
      <c r="S29" s="411">
        <f t="shared" si="18"/>
        <v>27730.833333333336</v>
      </c>
      <c r="T29" s="411">
        <f t="shared" si="18"/>
        <v>27730.833333333336</v>
      </c>
      <c r="U29" s="411">
        <f t="shared" si="18"/>
        <v>27730.833333333336</v>
      </c>
      <c r="V29" s="411">
        <f t="shared" si="18"/>
        <v>27730.833333333336</v>
      </c>
      <c r="W29" s="411">
        <f t="shared" si="18"/>
        <v>27730.833333333336</v>
      </c>
      <c r="X29" s="411">
        <f t="shared" si="18"/>
        <v>27730.833333333336</v>
      </c>
      <c r="Y29" s="411">
        <f t="shared" si="18"/>
        <v>27730.833333333336</v>
      </c>
      <c r="Z29" s="411">
        <f t="shared" si="18"/>
        <v>27730.833333333336</v>
      </c>
      <c r="AA29" s="411">
        <f t="shared" si="18"/>
        <v>27730.833333333336</v>
      </c>
      <c r="AB29" s="411">
        <f t="shared" si="18"/>
        <v>27730.833333333336</v>
      </c>
      <c r="AC29" s="411">
        <f t="shared" si="18"/>
        <v>27730.833333333336</v>
      </c>
      <c r="AD29" s="411">
        <f t="shared" si="18"/>
        <v>27730.833333333336</v>
      </c>
      <c r="AE29" s="411">
        <f t="shared" si="18"/>
        <v>27730.833333333336</v>
      </c>
      <c r="AF29" s="411">
        <f t="shared" si="18"/>
        <v>27730.833333333336</v>
      </c>
      <c r="AG29" s="411">
        <f t="shared" si="18"/>
        <v>27730.833333333336</v>
      </c>
      <c r="AH29" s="411">
        <f t="shared" si="18"/>
        <v>27730.833333333336</v>
      </c>
      <c r="AI29" s="411">
        <f t="shared" si="18"/>
        <v>27730.833333333336</v>
      </c>
      <c r="AJ29" s="411">
        <f t="shared" si="18"/>
        <v>27730.833333333336</v>
      </c>
      <c r="AK29" s="411">
        <f t="shared" si="18"/>
        <v>27730.833333333336</v>
      </c>
      <c r="AL29" s="411">
        <f t="shared" si="18"/>
        <v>27730.833333333336</v>
      </c>
      <c r="AM29" s="411">
        <f t="shared" si="18"/>
        <v>27730.833333333336</v>
      </c>
      <c r="AN29" s="411">
        <f t="shared" si="18"/>
        <v>27730.833333333336</v>
      </c>
      <c r="AO29" s="411">
        <f t="shared" si="18"/>
        <v>27730.833333333336</v>
      </c>
      <c r="AP29" s="411">
        <f t="shared" si="18"/>
        <v>27730.833333333336</v>
      </c>
      <c r="AQ29" s="411">
        <f t="shared" si="18"/>
        <v>27730.833333333336</v>
      </c>
      <c r="AR29" s="411">
        <f t="shared" si="18"/>
        <v>27730.833333333336</v>
      </c>
      <c r="AS29" s="411">
        <f t="shared" si="18"/>
        <v>27730.833333333336</v>
      </c>
      <c r="AT29" s="411">
        <f t="shared" si="18"/>
        <v>27730.833333333336</v>
      </c>
      <c r="AU29" s="411">
        <f t="shared" si="18"/>
        <v>27730.833333333336</v>
      </c>
      <c r="AV29" s="411">
        <f t="shared" si="18"/>
        <v>27730.833333333336</v>
      </c>
      <c r="AW29" s="411">
        <f t="shared" si="18"/>
        <v>27730.833333333336</v>
      </c>
      <c r="AX29" s="411">
        <f t="shared" si="18"/>
        <v>27730.833333333336</v>
      </c>
      <c r="AY29" s="411">
        <f t="shared" si="18"/>
        <v>27730.833333333336</v>
      </c>
      <c r="AZ29" s="411">
        <f t="shared" si="18"/>
        <v>27730.833333333336</v>
      </c>
      <c r="BA29" s="411">
        <f t="shared" si="18"/>
        <v>27730.833333333336</v>
      </c>
      <c r="BB29" s="411">
        <f t="shared" si="18"/>
        <v>27730.833333333336</v>
      </c>
      <c r="BC29" s="411">
        <f t="shared" si="18"/>
        <v>27730.833333333336</v>
      </c>
      <c r="BD29" s="411">
        <f t="shared" si="18"/>
        <v>27730.833333333336</v>
      </c>
      <c r="BE29" s="411">
        <f t="shared" si="18"/>
        <v>27730.833333333336</v>
      </c>
      <c r="BF29" s="411">
        <f t="shared" si="18"/>
        <v>27730.833333333336</v>
      </c>
      <c r="BG29" s="411">
        <f t="shared" si="18"/>
        <v>27730.833333333336</v>
      </c>
      <c r="BH29" s="411">
        <f t="shared" si="18"/>
        <v>27730.833333333336</v>
      </c>
      <c r="BI29" s="411">
        <f t="shared" si="18"/>
        <v>27730.833333333336</v>
      </c>
      <c r="BJ29" s="411">
        <f t="shared" si="18"/>
        <v>27730.833333333336</v>
      </c>
      <c r="BK29" s="411">
        <f t="shared" si="18"/>
        <v>27730.833333333336</v>
      </c>
      <c r="BL29" s="411">
        <f t="shared" si="18"/>
        <v>27730.833333333336</v>
      </c>
      <c r="BM29" s="411">
        <f t="shared" si="18"/>
        <v>27730.833333333336</v>
      </c>
      <c r="BN29" s="411">
        <f t="shared" si="18"/>
        <v>27730.833333333336</v>
      </c>
      <c r="BO29" s="411">
        <f t="shared" si="18"/>
        <v>27730.833333333336</v>
      </c>
      <c r="BP29" s="411">
        <f t="shared" si="18"/>
        <v>27730.833333333336</v>
      </c>
      <c r="BQ29" s="411">
        <f t="shared" si="18"/>
        <v>27730.833333333336</v>
      </c>
      <c r="BR29" s="411">
        <f t="shared" si="18"/>
        <v>27730.833333333336</v>
      </c>
      <c r="BS29" s="411">
        <f t="shared" si="18"/>
        <v>27730.833333333336</v>
      </c>
      <c r="BT29" s="411">
        <f t="shared" ref="BT29:CM29" si="19">$D$29*BT12</f>
        <v>27730.833333333336</v>
      </c>
      <c r="BU29" s="411">
        <f t="shared" si="19"/>
        <v>27730.833333333336</v>
      </c>
      <c r="BV29" s="411">
        <f t="shared" si="19"/>
        <v>27730.833333333336</v>
      </c>
      <c r="BW29" s="411">
        <f t="shared" si="19"/>
        <v>27730.833333333336</v>
      </c>
      <c r="BX29" s="411">
        <f t="shared" si="19"/>
        <v>27730.833333333336</v>
      </c>
      <c r="BY29" s="411">
        <f t="shared" si="19"/>
        <v>27730.833333333336</v>
      </c>
      <c r="BZ29" s="411">
        <f t="shared" si="19"/>
        <v>27730.833333333336</v>
      </c>
      <c r="CA29" s="411">
        <f t="shared" si="19"/>
        <v>27730.833333333336</v>
      </c>
      <c r="CB29" s="411">
        <f t="shared" si="19"/>
        <v>27730.833333333336</v>
      </c>
      <c r="CC29" s="411">
        <f t="shared" si="19"/>
        <v>27730.833333333336</v>
      </c>
      <c r="CD29" s="411">
        <f t="shared" si="19"/>
        <v>27730.833333333336</v>
      </c>
      <c r="CE29" s="411">
        <f t="shared" si="19"/>
        <v>27730.833333333336</v>
      </c>
      <c r="CF29" s="411">
        <f t="shared" si="19"/>
        <v>27730.833333333336</v>
      </c>
      <c r="CG29" s="411">
        <f t="shared" si="19"/>
        <v>27730.833333333336</v>
      </c>
      <c r="CH29" s="411">
        <f t="shared" si="19"/>
        <v>27730.833333333336</v>
      </c>
      <c r="CI29" s="411">
        <f t="shared" si="19"/>
        <v>27730.833333333336</v>
      </c>
      <c r="CJ29" s="411">
        <f t="shared" si="19"/>
        <v>27730.833333333336</v>
      </c>
      <c r="CK29" s="411">
        <f t="shared" si="19"/>
        <v>27730.833333333336</v>
      </c>
      <c r="CL29" s="411">
        <f t="shared" si="19"/>
        <v>27730.833333333336</v>
      </c>
      <c r="CM29" s="411">
        <f t="shared" si="19"/>
        <v>27730.833333333336</v>
      </c>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c r="EB29" s="58"/>
      <c r="EC29" s="58"/>
      <c r="ED29" s="58"/>
      <c r="EE29" s="58"/>
      <c r="EF29" s="58"/>
      <c r="EG29" s="58"/>
      <c r="EH29" s="58"/>
      <c r="EI29" s="58"/>
      <c r="EJ29" s="58"/>
      <c r="EK29" s="58"/>
      <c r="EL29" s="58"/>
      <c r="EM29" s="58"/>
      <c r="EN29" s="58"/>
      <c r="EO29" s="58"/>
      <c r="EP29" s="58"/>
      <c r="EQ29" s="58"/>
      <c r="ER29" s="58"/>
      <c r="ES29" s="58"/>
      <c r="ET29" s="58"/>
      <c r="EU29" s="58"/>
      <c r="EV29" s="58"/>
      <c r="EW29" s="58"/>
      <c r="EX29" s="58"/>
      <c r="EY29" s="58"/>
      <c r="EZ29" s="58"/>
      <c r="FA29" s="58"/>
      <c r="FB29" s="58"/>
      <c r="FC29" s="58"/>
      <c r="FD29" s="58"/>
      <c r="FE29" s="58"/>
      <c r="FF29" s="58"/>
      <c r="FG29" s="58"/>
      <c r="FH29" s="58"/>
      <c r="FI29" s="58"/>
      <c r="FJ29" s="58"/>
      <c r="FK29" s="58"/>
      <c r="FL29" s="58"/>
      <c r="FM29" s="58"/>
      <c r="FN29" s="58"/>
      <c r="FO29" s="58"/>
      <c r="FP29" s="58"/>
      <c r="FQ29" s="58"/>
      <c r="FR29" s="58"/>
      <c r="FS29" s="58"/>
      <c r="FT29" s="58"/>
      <c r="FU29" s="58"/>
      <c r="FV29" s="58"/>
    </row>
    <row r="30" spans="1:178">
      <c r="A30" s="1058"/>
      <c r="B30" s="2" t="s">
        <v>312</v>
      </c>
      <c r="C30" s="362" t="s">
        <v>313</v>
      </c>
      <c r="D30" s="362">
        <v>1.4999999999999999E-2</v>
      </c>
      <c r="E30" s="58"/>
      <c r="F30" s="27" t="s">
        <v>176</v>
      </c>
      <c r="G30" s="411">
        <f>$D$30*G13</f>
        <v>338.74999999999994</v>
      </c>
      <c r="H30" s="411">
        <f t="shared" ref="H30:BS30" si="20">$D$30*H13</f>
        <v>338.74999999999994</v>
      </c>
      <c r="I30" s="411">
        <f t="shared" si="20"/>
        <v>338.74999999999994</v>
      </c>
      <c r="J30" s="411">
        <f t="shared" si="20"/>
        <v>338.74999999999994</v>
      </c>
      <c r="K30" s="411">
        <f t="shared" si="20"/>
        <v>338.74999999999994</v>
      </c>
      <c r="L30" s="411">
        <f t="shared" si="20"/>
        <v>338.74999999999994</v>
      </c>
      <c r="M30" s="411">
        <f t="shared" si="20"/>
        <v>338.74999999999994</v>
      </c>
      <c r="N30" s="411">
        <f t="shared" si="20"/>
        <v>338.74999999999994</v>
      </c>
      <c r="O30" s="411">
        <f t="shared" si="20"/>
        <v>338.74999999999994</v>
      </c>
      <c r="P30" s="411">
        <f t="shared" si="20"/>
        <v>338.74999999999994</v>
      </c>
      <c r="Q30" s="411">
        <f t="shared" si="20"/>
        <v>338.74999999999994</v>
      </c>
      <c r="R30" s="411">
        <f t="shared" si="20"/>
        <v>338.74999999999994</v>
      </c>
      <c r="S30" s="411">
        <f t="shared" si="20"/>
        <v>338.74999999999994</v>
      </c>
      <c r="T30" s="411">
        <f t="shared" si="20"/>
        <v>338.74999999999994</v>
      </c>
      <c r="U30" s="411">
        <f t="shared" si="20"/>
        <v>338.74999999999994</v>
      </c>
      <c r="V30" s="411">
        <f t="shared" si="20"/>
        <v>338.74999999999994</v>
      </c>
      <c r="W30" s="411">
        <f t="shared" si="20"/>
        <v>338.74999999999994</v>
      </c>
      <c r="X30" s="411">
        <f t="shared" si="20"/>
        <v>338.74999999999994</v>
      </c>
      <c r="Y30" s="411">
        <f t="shared" si="20"/>
        <v>338.74999999999994</v>
      </c>
      <c r="Z30" s="411">
        <f t="shared" si="20"/>
        <v>338.74999999999994</v>
      </c>
      <c r="AA30" s="411">
        <f t="shared" si="20"/>
        <v>338.74999999999994</v>
      </c>
      <c r="AB30" s="411">
        <f t="shared" si="20"/>
        <v>338.74999999999994</v>
      </c>
      <c r="AC30" s="411">
        <f t="shared" si="20"/>
        <v>338.74999999999994</v>
      </c>
      <c r="AD30" s="411">
        <f t="shared" si="20"/>
        <v>338.74999999999994</v>
      </c>
      <c r="AE30" s="411">
        <f t="shared" si="20"/>
        <v>338.74999999999994</v>
      </c>
      <c r="AF30" s="411">
        <f t="shared" si="20"/>
        <v>338.74999999999994</v>
      </c>
      <c r="AG30" s="411">
        <f t="shared" si="20"/>
        <v>338.74999999999994</v>
      </c>
      <c r="AH30" s="411">
        <f t="shared" si="20"/>
        <v>338.74999999999994</v>
      </c>
      <c r="AI30" s="411">
        <f t="shared" si="20"/>
        <v>338.74999999999994</v>
      </c>
      <c r="AJ30" s="411">
        <f t="shared" si="20"/>
        <v>338.74999999999994</v>
      </c>
      <c r="AK30" s="411">
        <f t="shared" si="20"/>
        <v>338.74999999999994</v>
      </c>
      <c r="AL30" s="411">
        <f t="shared" si="20"/>
        <v>338.74999999999994</v>
      </c>
      <c r="AM30" s="411">
        <f t="shared" si="20"/>
        <v>338.74999999999994</v>
      </c>
      <c r="AN30" s="411">
        <f t="shared" si="20"/>
        <v>338.74999999999994</v>
      </c>
      <c r="AO30" s="411">
        <f t="shared" si="20"/>
        <v>338.74999999999994</v>
      </c>
      <c r="AP30" s="411">
        <f t="shared" si="20"/>
        <v>338.74999999999994</v>
      </c>
      <c r="AQ30" s="411">
        <f t="shared" si="20"/>
        <v>338.74999999999994</v>
      </c>
      <c r="AR30" s="411">
        <f t="shared" si="20"/>
        <v>338.74999999999994</v>
      </c>
      <c r="AS30" s="411">
        <f t="shared" si="20"/>
        <v>338.74999999999994</v>
      </c>
      <c r="AT30" s="411">
        <f t="shared" si="20"/>
        <v>338.74999999999994</v>
      </c>
      <c r="AU30" s="411">
        <f t="shared" si="20"/>
        <v>338.74999999999994</v>
      </c>
      <c r="AV30" s="411">
        <f t="shared" si="20"/>
        <v>338.74999999999994</v>
      </c>
      <c r="AW30" s="411">
        <f t="shared" si="20"/>
        <v>338.74999999999994</v>
      </c>
      <c r="AX30" s="411">
        <f t="shared" si="20"/>
        <v>338.74999999999994</v>
      </c>
      <c r="AY30" s="411">
        <f t="shared" si="20"/>
        <v>338.74999999999994</v>
      </c>
      <c r="AZ30" s="411">
        <f t="shared" si="20"/>
        <v>338.74999999999994</v>
      </c>
      <c r="BA30" s="411">
        <f t="shared" si="20"/>
        <v>338.74999999999994</v>
      </c>
      <c r="BB30" s="411">
        <f t="shared" si="20"/>
        <v>338.74999999999994</v>
      </c>
      <c r="BC30" s="411">
        <f t="shared" si="20"/>
        <v>338.74999999999994</v>
      </c>
      <c r="BD30" s="411">
        <f t="shared" si="20"/>
        <v>338.74999999999994</v>
      </c>
      <c r="BE30" s="411">
        <f t="shared" si="20"/>
        <v>338.74999999999994</v>
      </c>
      <c r="BF30" s="411">
        <f t="shared" si="20"/>
        <v>338.74999999999994</v>
      </c>
      <c r="BG30" s="411">
        <f t="shared" si="20"/>
        <v>338.74999999999994</v>
      </c>
      <c r="BH30" s="411">
        <f t="shared" si="20"/>
        <v>338.74999999999994</v>
      </c>
      <c r="BI30" s="411">
        <f t="shared" si="20"/>
        <v>338.74999999999994</v>
      </c>
      <c r="BJ30" s="411">
        <f t="shared" si="20"/>
        <v>338.74999999999994</v>
      </c>
      <c r="BK30" s="411">
        <f t="shared" si="20"/>
        <v>338.74999999999994</v>
      </c>
      <c r="BL30" s="411">
        <f t="shared" si="20"/>
        <v>338.74999999999994</v>
      </c>
      <c r="BM30" s="411">
        <f t="shared" si="20"/>
        <v>338.74999999999994</v>
      </c>
      <c r="BN30" s="411">
        <f t="shared" si="20"/>
        <v>338.74999999999994</v>
      </c>
      <c r="BO30" s="411">
        <f t="shared" si="20"/>
        <v>338.74999999999994</v>
      </c>
      <c r="BP30" s="411">
        <f t="shared" si="20"/>
        <v>338.74999999999994</v>
      </c>
      <c r="BQ30" s="411">
        <f t="shared" si="20"/>
        <v>338.74999999999994</v>
      </c>
      <c r="BR30" s="411">
        <f t="shared" si="20"/>
        <v>338.74999999999994</v>
      </c>
      <c r="BS30" s="411">
        <f t="shared" si="20"/>
        <v>338.74999999999994</v>
      </c>
      <c r="BT30" s="411">
        <f t="shared" ref="BT30:CM30" si="21">$D$30*BT13</f>
        <v>338.74999999999994</v>
      </c>
      <c r="BU30" s="411">
        <f t="shared" si="21"/>
        <v>338.74999999999994</v>
      </c>
      <c r="BV30" s="411">
        <f t="shared" si="21"/>
        <v>338.74999999999994</v>
      </c>
      <c r="BW30" s="411">
        <f t="shared" si="21"/>
        <v>338.74999999999994</v>
      </c>
      <c r="BX30" s="411">
        <f t="shared" si="21"/>
        <v>338.74999999999994</v>
      </c>
      <c r="BY30" s="411">
        <f t="shared" si="21"/>
        <v>338.74999999999994</v>
      </c>
      <c r="BZ30" s="411">
        <f t="shared" si="21"/>
        <v>338.74999999999994</v>
      </c>
      <c r="CA30" s="411">
        <f t="shared" si="21"/>
        <v>338.74999999999994</v>
      </c>
      <c r="CB30" s="411">
        <f t="shared" si="21"/>
        <v>338.74999999999994</v>
      </c>
      <c r="CC30" s="411">
        <f t="shared" si="21"/>
        <v>338.74999999999994</v>
      </c>
      <c r="CD30" s="411">
        <f t="shared" si="21"/>
        <v>338.74999999999994</v>
      </c>
      <c r="CE30" s="411">
        <f t="shared" si="21"/>
        <v>338.74999999999994</v>
      </c>
      <c r="CF30" s="411">
        <f t="shared" si="21"/>
        <v>338.74999999999994</v>
      </c>
      <c r="CG30" s="411">
        <f t="shared" si="21"/>
        <v>338.74999999999994</v>
      </c>
      <c r="CH30" s="411">
        <f t="shared" si="21"/>
        <v>338.74999999999994</v>
      </c>
      <c r="CI30" s="411">
        <f t="shared" si="21"/>
        <v>338.74999999999994</v>
      </c>
      <c r="CJ30" s="411">
        <f t="shared" si="21"/>
        <v>338.74999999999994</v>
      </c>
      <c r="CK30" s="411">
        <f t="shared" si="21"/>
        <v>338.74999999999994</v>
      </c>
      <c r="CL30" s="411">
        <f t="shared" si="21"/>
        <v>338.74999999999994</v>
      </c>
      <c r="CM30" s="411">
        <f t="shared" si="21"/>
        <v>338.74999999999994</v>
      </c>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c r="EB30" s="58"/>
      <c r="EC30" s="58"/>
      <c r="ED30" s="58"/>
      <c r="EE30" s="58"/>
      <c r="EF30" s="58"/>
      <c r="EG30" s="58"/>
      <c r="EH30" s="58"/>
      <c r="EI30" s="58"/>
      <c r="EJ30" s="58"/>
      <c r="EK30" s="58"/>
      <c r="EL30" s="58"/>
      <c r="EM30" s="58"/>
      <c r="EN30" s="58"/>
      <c r="EO30" s="58"/>
      <c r="EP30" s="58"/>
      <c r="EQ30" s="58"/>
      <c r="ER30" s="58"/>
      <c r="ES30" s="58"/>
      <c r="ET30" s="58"/>
      <c r="EU30" s="58"/>
      <c r="EV30" s="58"/>
      <c r="EW30" s="58"/>
      <c r="EX30" s="58"/>
      <c r="EY30" s="58"/>
      <c r="EZ30" s="58"/>
      <c r="FA30" s="58"/>
      <c r="FB30" s="58"/>
      <c r="FC30" s="58"/>
      <c r="FD30" s="58"/>
      <c r="FE30" s="58"/>
      <c r="FF30" s="58"/>
      <c r="FG30" s="58"/>
      <c r="FH30" s="58"/>
      <c r="FI30" s="58"/>
      <c r="FJ30" s="58"/>
      <c r="FK30" s="58"/>
      <c r="FL30" s="58"/>
      <c r="FM30" s="58"/>
      <c r="FN30" s="58"/>
      <c r="FO30" s="58"/>
      <c r="FP30" s="58"/>
      <c r="FQ30" s="58"/>
      <c r="FR30" s="58"/>
      <c r="FS30" s="58"/>
      <c r="FT30" s="58"/>
      <c r="FU30" s="58"/>
      <c r="FV30" s="58"/>
    </row>
    <row r="31" spans="1:178">
      <c r="A31" s="1058"/>
      <c r="B31" s="2" t="s">
        <v>312</v>
      </c>
      <c r="C31" s="362" t="s">
        <v>313</v>
      </c>
      <c r="D31" s="362">
        <v>1.9E-2</v>
      </c>
      <c r="E31" s="58"/>
      <c r="F31" s="27" t="s">
        <v>177</v>
      </c>
      <c r="G31" s="411">
        <f>$D$31*G14</f>
        <v>264.41666666666663</v>
      </c>
      <c r="H31" s="411">
        <f t="shared" ref="H31:BS31" si="22">$D$31*H14</f>
        <v>264.41666666666663</v>
      </c>
      <c r="I31" s="411">
        <f t="shared" si="22"/>
        <v>264.41666666666663</v>
      </c>
      <c r="J31" s="411">
        <f t="shared" si="22"/>
        <v>264.41666666666663</v>
      </c>
      <c r="K31" s="411">
        <f t="shared" si="22"/>
        <v>264.41666666666663</v>
      </c>
      <c r="L31" s="411">
        <f t="shared" si="22"/>
        <v>264.41666666666663</v>
      </c>
      <c r="M31" s="411">
        <f t="shared" si="22"/>
        <v>264.41666666666663</v>
      </c>
      <c r="N31" s="411">
        <f t="shared" si="22"/>
        <v>264.41666666666663</v>
      </c>
      <c r="O31" s="411">
        <f t="shared" si="22"/>
        <v>264.41666666666663</v>
      </c>
      <c r="P31" s="411">
        <f t="shared" si="22"/>
        <v>264.41666666666663</v>
      </c>
      <c r="Q31" s="411">
        <f t="shared" si="22"/>
        <v>264.41666666666663</v>
      </c>
      <c r="R31" s="411">
        <f t="shared" si="22"/>
        <v>264.41666666666663</v>
      </c>
      <c r="S31" s="411">
        <f t="shared" si="22"/>
        <v>264.41666666666663</v>
      </c>
      <c r="T31" s="411">
        <f t="shared" si="22"/>
        <v>264.41666666666663</v>
      </c>
      <c r="U31" s="411">
        <f t="shared" si="22"/>
        <v>264.41666666666663</v>
      </c>
      <c r="V31" s="411">
        <f t="shared" si="22"/>
        <v>264.41666666666663</v>
      </c>
      <c r="W31" s="411">
        <f t="shared" si="22"/>
        <v>264.41666666666663</v>
      </c>
      <c r="X31" s="411">
        <f t="shared" si="22"/>
        <v>264.41666666666663</v>
      </c>
      <c r="Y31" s="411">
        <f t="shared" si="22"/>
        <v>264.41666666666663</v>
      </c>
      <c r="Z31" s="411">
        <f t="shared" si="22"/>
        <v>264.41666666666663</v>
      </c>
      <c r="AA31" s="411">
        <f t="shared" si="22"/>
        <v>264.41666666666663</v>
      </c>
      <c r="AB31" s="411">
        <f t="shared" si="22"/>
        <v>264.41666666666663</v>
      </c>
      <c r="AC31" s="411">
        <f t="shared" si="22"/>
        <v>264.41666666666663</v>
      </c>
      <c r="AD31" s="411">
        <f t="shared" si="22"/>
        <v>264.41666666666663</v>
      </c>
      <c r="AE31" s="411">
        <f t="shared" si="22"/>
        <v>264.41666666666663</v>
      </c>
      <c r="AF31" s="411">
        <f t="shared" si="22"/>
        <v>264.41666666666663</v>
      </c>
      <c r="AG31" s="411">
        <f t="shared" si="22"/>
        <v>264.41666666666663</v>
      </c>
      <c r="AH31" s="411">
        <f t="shared" si="22"/>
        <v>264.41666666666663</v>
      </c>
      <c r="AI31" s="411">
        <f t="shared" si="22"/>
        <v>264.41666666666663</v>
      </c>
      <c r="AJ31" s="411">
        <f t="shared" si="22"/>
        <v>264.41666666666663</v>
      </c>
      <c r="AK31" s="411">
        <f t="shared" si="22"/>
        <v>264.41666666666663</v>
      </c>
      <c r="AL31" s="411">
        <f t="shared" si="22"/>
        <v>264.41666666666663</v>
      </c>
      <c r="AM31" s="411">
        <f t="shared" si="22"/>
        <v>264.41666666666663</v>
      </c>
      <c r="AN31" s="411">
        <f t="shared" si="22"/>
        <v>264.41666666666663</v>
      </c>
      <c r="AO31" s="411">
        <f t="shared" si="22"/>
        <v>264.41666666666663</v>
      </c>
      <c r="AP31" s="411">
        <f t="shared" si="22"/>
        <v>264.41666666666663</v>
      </c>
      <c r="AQ31" s="411">
        <f t="shared" si="22"/>
        <v>264.41666666666663</v>
      </c>
      <c r="AR31" s="411">
        <f t="shared" si="22"/>
        <v>264.41666666666663</v>
      </c>
      <c r="AS31" s="411">
        <f t="shared" si="22"/>
        <v>264.41666666666663</v>
      </c>
      <c r="AT31" s="411">
        <f t="shared" si="22"/>
        <v>264.41666666666663</v>
      </c>
      <c r="AU31" s="411">
        <f t="shared" si="22"/>
        <v>264.41666666666663</v>
      </c>
      <c r="AV31" s="411">
        <f t="shared" si="22"/>
        <v>264.41666666666663</v>
      </c>
      <c r="AW31" s="411">
        <f t="shared" si="22"/>
        <v>264.41666666666663</v>
      </c>
      <c r="AX31" s="411">
        <f t="shared" si="22"/>
        <v>264.41666666666663</v>
      </c>
      <c r="AY31" s="411">
        <f t="shared" si="22"/>
        <v>264.41666666666663</v>
      </c>
      <c r="AZ31" s="411">
        <f t="shared" si="22"/>
        <v>264.41666666666663</v>
      </c>
      <c r="BA31" s="411">
        <f t="shared" si="22"/>
        <v>264.41666666666663</v>
      </c>
      <c r="BB31" s="411">
        <f t="shared" si="22"/>
        <v>264.41666666666663</v>
      </c>
      <c r="BC31" s="411">
        <f t="shared" si="22"/>
        <v>264.41666666666663</v>
      </c>
      <c r="BD31" s="411">
        <f t="shared" si="22"/>
        <v>264.41666666666663</v>
      </c>
      <c r="BE31" s="411">
        <f t="shared" si="22"/>
        <v>264.41666666666663</v>
      </c>
      <c r="BF31" s="411">
        <f t="shared" si="22"/>
        <v>264.41666666666663</v>
      </c>
      <c r="BG31" s="411">
        <f t="shared" si="22"/>
        <v>264.41666666666663</v>
      </c>
      <c r="BH31" s="411">
        <f t="shared" si="22"/>
        <v>264.41666666666663</v>
      </c>
      <c r="BI31" s="411">
        <f t="shared" si="22"/>
        <v>264.41666666666663</v>
      </c>
      <c r="BJ31" s="411">
        <f t="shared" si="22"/>
        <v>264.41666666666663</v>
      </c>
      <c r="BK31" s="411">
        <f t="shared" si="22"/>
        <v>264.41666666666663</v>
      </c>
      <c r="BL31" s="411">
        <f t="shared" si="22"/>
        <v>264.41666666666663</v>
      </c>
      <c r="BM31" s="411">
        <f t="shared" si="22"/>
        <v>264.41666666666663</v>
      </c>
      <c r="BN31" s="411">
        <f t="shared" si="22"/>
        <v>264.41666666666663</v>
      </c>
      <c r="BO31" s="411">
        <f t="shared" si="22"/>
        <v>264.41666666666663</v>
      </c>
      <c r="BP31" s="411">
        <f t="shared" si="22"/>
        <v>264.41666666666663</v>
      </c>
      <c r="BQ31" s="411">
        <f t="shared" si="22"/>
        <v>264.41666666666663</v>
      </c>
      <c r="BR31" s="411">
        <f t="shared" si="22"/>
        <v>264.41666666666663</v>
      </c>
      <c r="BS31" s="411">
        <f t="shared" si="22"/>
        <v>264.41666666666663</v>
      </c>
      <c r="BT31" s="411">
        <f t="shared" ref="BT31:CM31" si="23">$D$31*BT14</f>
        <v>264.41666666666663</v>
      </c>
      <c r="BU31" s="411">
        <f t="shared" si="23"/>
        <v>264.41666666666663</v>
      </c>
      <c r="BV31" s="411">
        <f t="shared" si="23"/>
        <v>264.41666666666663</v>
      </c>
      <c r="BW31" s="411">
        <f t="shared" si="23"/>
        <v>264.41666666666663</v>
      </c>
      <c r="BX31" s="411">
        <f t="shared" si="23"/>
        <v>264.41666666666663</v>
      </c>
      <c r="BY31" s="411">
        <f t="shared" si="23"/>
        <v>264.41666666666663</v>
      </c>
      <c r="BZ31" s="411">
        <f t="shared" si="23"/>
        <v>264.41666666666663</v>
      </c>
      <c r="CA31" s="411">
        <f t="shared" si="23"/>
        <v>264.41666666666663</v>
      </c>
      <c r="CB31" s="411">
        <f t="shared" si="23"/>
        <v>264.41666666666663</v>
      </c>
      <c r="CC31" s="411">
        <f t="shared" si="23"/>
        <v>264.41666666666663</v>
      </c>
      <c r="CD31" s="411">
        <f t="shared" si="23"/>
        <v>264.41666666666663</v>
      </c>
      <c r="CE31" s="411">
        <f t="shared" si="23"/>
        <v>264.41666666666663</v>
      </c>
      <c r="CF31" s="411">
        <f t="shared" si="23"/>
        <v>264.41666666666663</v>
      </c>
      <c r="CG31" s="411">
        <f t="shared" si="23"/>
        <v>264.41666666666663</v>
      </c>
      <c r="CH31" s="411">
        <f t="shared" si="23"/>
        <v>264.41666666666663</v>
      </c>
      <c r="CI31" s="411">
        <f t="shared" si="23"/>
        <v>264.41666666666663</v>
      </c>
      <c r="CJ31" s="411">
        <f t="shared" si="23"/>
        <v>264.41666666666663</v>
      </c>
      <c r="CK31" s="411">
        <f t="shared" si="23"/>
        <v>264.41666666666663</v>
      </c>
      <c r="CL31" s="411">
        <f t="shared" si="23"/>
        <v>264.41666666666663</v>
      </c>
      <c r="CM31" s="411">
        <f t="shared" si="23"/>
        <v>264.41666666666663</v>
      </c>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c r="EB31" s="58"/>
      <c r="EC31" s="58"/>
      <c r="ED31" s="58"/>
      <c r="EE31" s="58"/>
      <c r="EF31" s="58"/>
      <c r="EG31" s="58"/>
      <c r="EH31" s="58"/>
      <c r="EI31" s="58"/>
      <c r="EJ31" s="58"/>
      <c r="EK31" s="58"/>
      <c r="EL31" s="58"/>
      <c r="EM31" s="58"/>
      <c r="EN31" s="58"/>
      <c r="EO31" s="58"/>
      <c r="EP31" s="58"/>
      <c r="EQ31" s="58"/>
      <c r="ER31" s="58"/>
      <c r="ES31" s="58"/>
      <c r="ET31" s="58"/>
      <c r="EU31" s="58"/>
      <c r="EV31" s="58"/>
      <c r="EW31" s="58"/>
      <c r="EX31" s="58"/>
      <c r="EY31" s="58"/>
      <c r="EZ31" s="58"/>
      <c r="FA31" s="58"/>
      <c r="FB31" s="58"/>
      <c r="FC31" s="58"/>
      <c r="FD31" s="58"/>
      <c r="FE31" s="58"/>
      <c r="FF31" s="58"/>
      <c r="FG31" s="58"/>
      <c r="FH31" s="58"/>
      <c r="FI31" s="58"/>
      <c r="FJ31" s="58"/>
      <c r="FK31" s="58"/>
      <c r="FL31" s="58"/>
      <c r="FM31" s="58"/>
      <c r="FN31" s="58"/>
      <c r="FO31" s="58"/>
      <c r="FP31" s="58"/>
      <c r="FQ31" s="58"/>
      <c r="FR31" s="58"/>
      <c r="FS31" s="58"/>
      <c r="FT31" s="58"/>
      <c r="FU31" s="58"/>
      <c r="FV31" s="58"/>
    </row>
    <row r="32" spans="1:178">
      <c r="A32" s="1058"/>
      <c r="B32" s="2" t="s">
        <v>312</v>
      </c>
      <c r="C32" s="362" t="s">
        <v>313</v>
      </c>
      <c r="D32" s="362">
        <v>1.1900000000000001E-2</v>
      </c>
      <c r="E32" s="58"/>
      <c r="F32" s="27" t="s">
        <v>178</v>
      </c>
      <c r="G32" s="411">
        <f>$D$32*G15</f>
        <v>1487.5</v>
      </c>
      <c r="H32" s="411">
        <f t="shared" ref="H32:BS32" si="24">$D$32*H15</f>
        <v>1487.5</v>
      </c>
      <c r="I32" s="411">
        <f t="shared" si="24"/>
        <v>1487.5</v>
      </c>
      <c r="J32" s="411">
        <f t="shared" si="24"/>
        <v>1487.5</v>
      </c>
      <c r="K32" s="411">
        <f t="shared" si="24"/>
        <v>1487.5</v>
      </c>
      <c r="L32" s="411">
        <f t="shared" si="24"/>
        <v>1487.5</v>
      </c>
      <c r="M32" s="411">
        <f t="shared" si="24"/>
        <v>1487.5</v>
      </c>
      <c r="N32" s="411">
        <f t="shared" si="24"/>
        <v>1487.5</v>
      </c>
      <c r="O32" s="411">
        <f t="shared" si="24"/>
        <v>1487.5</v>
      </c>
      <c r="P32" s="411">
        <f t="shared" si="24"/>
        <v>1487.5</v>
      </c>
      <c r="Q32" s="411">
        <f t="shared" si="24"/>
        <v>1487.5</v>
      </c>
      <c r="R32" s="411">
        <f t="shared" si="24"/>
        <v>1487.5</v>
      </c>
      <c r="S32" s="411">
        <f t="shared" si="24"/>
        <v>1487.5</v>
      </c>
      <c r="T32" s="411">
        <f t="shared" si="24"/>
        <v>1487.5</v>
      </c>
      <c r="U32" s="411">
        <f t="shared" si="24"/>
        <v>1487.5</v>
      </c>
      <c r="V32" s="411">
        <f t="shared" si="24"/>
        <v>1487.5</v>
      </c>
      <c r="W32" s="411">
        <f t="shared" si="24"/>
        <v>1487.5</v>
      </c>
      <c r="X32" s="411">
        <f t="shared" si="24"/>
        <v>1487.5</v>
      </c>
      <c r="Y32" s="411">
        <f t="shared" si="24"/>
        <v>1487.5</v>
      </c>
      <c r="Z32" s="411">
        <f t="shared" si="24"/>
        <v>1487.5</v>
      </c>
      <c r="AA32" s="411">
        <f t="shared" si="24"/>
        <v>1487.5</v>
      </c>
      <c r="AB32" s="411">
        <f t="shared" si="24"/>
        <v>1487.5</v>
      </c>
      <c r="AC32" s="411">
        <f t="shared" si="24"/>
        <v>1487.5</v>
      </c>
      <c r="AD32" s="411">
        <f t="shared" si="24"/>
        <v>1487.5</v>
      </c>
      <c r="AE32" s="411">
        <f t="shared" si="24"/>
        <v>1487.5</v>
      </c>
      <c r="AF32" s="411">
        <f t="shared" si="24"/>
        <v>1487.5</v>
      </c>
      <c r="AG32" s="411">
        <f t="shared" si="24"/>
        <v>1487.5</v>
      </c>
      <c r="AH32" s="411">
        <f t="shared" si="24"/>
        <v>1487.5</v>
      </c>
      <c r="AI32" s="411">
        <f t="shared" si="24"/>
        <v>1487.5</v>
      </c>
      <c r="AJ32" s="411">
        <f t="shared" si="24"/>
        <v>1487.5</v>
      </c>
      <c r="AK32" s="411">
        <f t="shared" si="24"/>
        <v>1487.5</v>
      </c>
      <c r="AL32" s="411">
        <f t="shared" si="24"/>
        <v>1487.5</v>
      </c>
      <c r="AM32" s="411">
        <f t="shared" si="24"/>
        <v>1487.5</v>
      </c>
      <c r="AN32" s="411">
        <f t="shared" si="24"/>
        <v>1487.5</v>
      </c>
      <c r="AO32" s="411">
        <f t="shared" si="24"/>
        <v>1487.5</v>
      </c>
      <c r="AP32" s="411">
        <f t="shared" si="24"/>
        <v>1487.5</v>
      </c>
      <c r="AQ32" s="411">
        <f t="shared" si="24"/>
        <v>1487.5</v>
      </c>
      <c r="AR32" s="411">
        <f t="shared" si="24"/>
        <v>1487.5</v>
      </c>
      <c r="AS32" s="411">
        <f t="shared" si="24"/>
        <v>1487.5</v>
      </c>
      <c r="AT32" s="411">
        <f t="shared" si="24"/>
        <v>1487.5</v>
      </c>
      <c r="AU32" s="411">
        <f t="shared" si="24"/>
        <v>1487.5</v>
      </c>
      <c r="AV32" s="411">
        <f t="shared" si="24"/>
        <v>1487.5</v>
      </c>
      <c r="AW32" s="411">
        <f t="shared" si="24"/>
        <v>1487.5</v>
      </c>
      <c r="AX32" s="411">
        <f t="shared" si="24"/>
        <v>1487.5</v>
      </c>
      <c r="AY32" s="411">
        <f t="shared" si="24"/>
        <v>1487.5</v>
      </c>
      <c r="AZ32" s="411">
        <f t="shared" si="24"/>
        <v>1487.5</v>
      </c>
      <c r="BA32" s="411">
        <f t="shared" si="24"/>
        <v>1487.5</v>
      </c>
      <c r="BB32" s="411">
        <f t="shared" si="24"/>
        <v>1487.5</v>
      </c>
      <c r="BC32" s="411">
        <f t="shared" si="24"/>
        <v>1487.5</v>
      </c>
      <c r="BD32" s="411">
        <f t="shared" si="24"/>
        <v>1487.5</v>
      </c>
      <c r="BE32" s="411">
        <f t="shared" si="24"/>
        <v>1487.5</v>
      </c>
      <c r="BF32" s="411">
        <f t="shared" si="24"/>
        <v>1487.5</v>
      </c>
      <c r="BG32" s="411">
        <f t="shared" si="24"/>
        <v>1487.5</v>
      </c>
      <c r="BH32" s="411">
        <f t="shared" si="24"/>
        <v>1487.5</v>
      </c>
      <c r="BI32" s="411">
        <f t="shared" si="24"/>
        <v>1487.5</v>
      </c>
      <c r="BJ32" s="411">
        <f t="shared" si="24"/>
        <v>1487.5</v>
      </c>
      <c r="BK32" s="411">
        <f t="shared" si="24"/>
        <v>1487.5</v>
      </c>
      <c r="BL32" s="411">
        <f t="shared" si="24"/>
        <v>1487.5</v>
      </c>
      <c r="BM32" s="411">
        <f t="shared" si="24"/>
        <v>1487.5</v>
      </c>
      <c r="BN32" s="411">
        <f t="shared" si="24"/>
        <v>1487.5</v>
      </c>
      <c r="BO32" s="411">
        <f t="shared" si="24"/>
        <v>1487.5</v>
      </c>
      <c r="BP32" s="411">
        <f t="shared" si="24"/>
        <v>1487.5</v>
      </c>
      <c r="BQ32" s="411">
        <f t="shared" si="24"/>
        <v>1487.5</v>
      </c>
      <c r="BR32" s="411">
        <f t="shared" si="24"/>
        <v>1487.5</v>
      </c>
      <c r="BS32" s="411">
        <f t="shared" si="24"/>
        <v>1487.5</v>
      </c>
      <c r="BT32" s="411">
        <f t="shared" ref="BT32:CM32" si="25">$D$32*BT15</f>
        <v>1487.5</v>
      </c>
      <c r="BU32" s="411">
        <f t="shared" si="25"/>
        <v>1487.5</v>
      </c>
      <c r="BV32" s="411">
        <f t="shared" si="25"/>
        <v>1487.5</v>
      </c>
      <c r="BW32" s="411">
        <f t="shared" si="25"/>
        <v>1487.5</v>
      </c>
      <c r="BX32" s="411">
        <f t="shared" si="25"/>
        <v>1487.5</v>
      </c>
      <c r="BY32" s="411">
        <f t="shared" si="25"/>
        <v>1487.5</v>
      </c>
      <c r="BZ32" s="411">
        <f t="shared" si="25"/>
        <v>1487.5</v>
      </c>
      <c r="CA32" s="411">
        <f t="shared" si="25"/>
        <v>1487.5</v>
      </c>
      <c r="CB32" s="411">
        <f t="shared" si="25"/>
        <v>1487.5</v>
      </c>
      <c r="CC32" s="411">
        <f t="shared" si="25"/>
        <v>1487.5</v>
      </c>
      <c r="CD32" s="411">
        <f t="shared" si="25"/>
        <v>1487.5</v>
      </c>
      <c r="CE32" s="411">
        <f t="shared" si="25"/>
        <v>1487.5</v>
      </c>
      <c r="CF32" s="411">
        <f t="shared" si="25"/>
        <v>1487.5</v>
      </c>
      <c r="CG32" s="411">
        <f t="shared" si="25"/>
        <v>1487.5</v>
      </c>
      <c r="CH32" s="411">
        <f t="shared" si="25"/>
        <v>1487.5</v>
      </c>
      <c r="CI32" s="411">
        <f t="shared" si="25"/>
        <v>1487.5</v>
      </c>
      <c r="CJ32" s="411">
        <f t="shared" si="25"/>
        <v>1487.5</v>
      </c>
      <c r="CK32" s="411">
        <f t="shared" si="25"/>
        <v>1487.5</v>
      </c>
      <c r="CL32" s="411">
        <f t="shared" si="25"/>
        <v>1487.5</v>
      </c>
      <c r="CM32" s="411">
        <f t="shared" si="25"/>
        <v>1487.5</v>
      </c>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c r="EB32" s="58"/>
      <c r="EC32" s="58"/>
      <c r="ED32" s="58"/>
      <c r="EE32" s="58"/>
      <c r="EF32" s="58"/>
      <c r="EG32" s="58"/>
      <c r="EH32" s="58"/>
      <c r="EI32" s="58"/>
      <c r="EJ32" s="58"/>
      <c r="EK32" s="58"/>
      <c r="EL32" s="58"/>
      <c r="EM32" s="58"/>
      <c r="EN32" s="58"/>
      <c r="EO32" s="58"/>
      <c r="EP32" s="58"/>
      <c r="EQ32" s="58"/>
      <c r="ER32" s="58"/>
      <c r="ES32" s="58"/>
      <c r="ET32" s="58"/>
      <c r="EU32" s="58"/>
      <c r="EV32" s="58"/>
      <c r="EW32" s="58"/>
      <c r="EX32" s="58"/>
      <c r="EY32" s="58"/>
      <c r="EZ32" s="58"/>
      <c r="FA32" s="58"/>
      <c r="FB32" s="58"/>
      <c r="FC32" s="58"/>
      <c r="FD32" s="58"/>
      <c r="FE32" s="58"/>
      <c r="FF32" s="58"/>
      <c r="FG32" s="58"/>
      <c r="FH32" s="58"/>
      <c r="FI32" s="58"/>
      <c r="FJ32" s="58"/>
      <c r="FK32" s="58"/>
      <c r="FL32" s="58"/>
      <c r="FM32" s="58"/>
      <c r="FN32" s="58"/>
      <c r="FO32" s="58"/>
      <c r="FP32" s="58"/>
      <c r="FQ32" s="58"/>
      <c r="FR32" s="58"/>
      <c r="FS32" s="58"/>
      <c r="FT32" s="58"/>
      <c r="FU32" s="58"/>
      <c r="FV32" s="58"/>
    </row>
    <row r="33" spans="1:179">
      <c r="A33" s="1059"/>
      <c r="B33" s="224" t="s">
        <v>312</v>
      </c>
      <c r="C33" s="367" t="s">
        <v>313</v>
      </c>
      <c r="D33" s="416">
        <f>1.50375/1000</f>
        <v>1.5037499999999999E-3</v>
      </c>
      <c r="E33" s="236"/>
      <c r="F33" s="417" t="s">
        <v>179</v>
      </c>
      <c r="G33" s="418">
        <v>166.44858374999998</v>
      </c>
      <c r="H33" s="418">
        <v>166.44858374999998</v>
      </c>
      <c r="I33" s="418">
        <v>166.44858374999998</v>
      </c>
      <c r="J33" s="418">
        <v>166.44858374999998</v>
      </c>
      <c r="K33" s="418">
        <v>166.44858374999998</v>
      </c>
      <c r="L33" s="418">
        <v>166.44858374999998</v>
      </c>
      <c r="M33" s="418">
        <v>166.44858374999998</v>
      </c>
      <c r="N33" s="418">
        <v>166.44858374999998</v>
      </c>
      <c r="O33" s="418">
        <v>166.44858374999998</v>
      </c>
      <c r="P33" s="418">
        <v>166.44858374999998</v>
      </c>
      <c r="Q33" s="418">
        <v>166.44858374999998</v>
      </c>
      <c r="R33" s="418">
        <v>166.44858374999998</v>
      </c>
      <c r="S33" s="418">
        <v>166.44858374999998</v>
      </c>
      <c r="T33" s="418">
        <f t="shared" ref="T33:AS33" si="26">T16*$D$33</f>
        <v>137.652021875</v>
      </c>
      <c r="U33" s="418">
        <f t="shared" si="26"/>
        <v>137.652021875</v>
      </c>
      <c r="V33" s="418">
        <f t="shared" si="26"/>
        <v>137.652021875</v>
      </c>
      <c r="W33" s="418">
        <f t="shared" si="26"/>
        <v>137.652021875</v>
      </c>
      <c r="X33" s="418">
        <f t="shared" si="26"/>
        <v>137.652021875</v>
      </c>
      <c r="Y33" s="418">
        <f t="shared" si="26"/>
        <v>137.652021875</v>
      </c>
      <c r="Z33" s="418">
        <f t="shared" si="26"/>
        <v>137.652021875</v>
      </c>
      <c r="AA33" s="418">
        <f t="shared" si="26"/>
        <v>137.652021875</v>
      </c>
      <c r="AB33" s="418">
        <f t="shared" si="26"/>
        <v>137.652021875</v>
      </c>
      <c r="AC33" s="418">
        <f t="shared" si="26"/>
        <v>137.652021875</v>
      </c>
      <c r="AD33" s="418">
        <f t="shared" si="26"/>
        <v>137.652021875</v>
      </c>
      <c r="AE33" s="418">
        <f t="shared" si="26"/>
        <v>137.652021875</v>
      </c>
      <c r="AF33" s="418">
        <f t="shared" si="26"/>
        <v>137.652021875</v>
      </c>
      <c r="AG33" s="418">
        <f t="shared" si="26"/>
        <v>137.652021875</v>
      </c>
      <c r="AH33" s="418">
        <f t="shared" si="26"/>
        <v>137.652021875</v>
      </c>
      <c r="AI33" s="418">
        <f t="shared" si="26"/>
        <v>137.652021875</v>
      </c>
      <c r="AJ33" s="418">
        <f t="shared" si="26"/>
        <v>137.652021875</v>
      </c>
      <c r="AK33" s="418">
        <f t="shared" si="26"/>
        <v>137.652021875</v>
      </c>
      <c r="AL33" s="418">
        <f t="shared" si="26"/>
        <v>137.652021875</v>
      </c>
      <c r="AM33" s="418">
        <f t="shared" si="26"/>
        <v>137.652021875</v>
      </c>
      <c r="AN33" s="418">
        <f t="shared" si="26"/>
        <v>137.652021875</v>
      </c>
      <c r="AO33" s="418">
        <f t="shared" si="26"/>
        <v>137.652021875</v>
      </c>
      <c r="AP33" s="418">
        <f t="shared" si="26"/>
        <v>137.652021875</v>
      </c>
      <c r="AQ33" s="418">
        <f t="shared" si="26"/>
        <v>137.652021875</v>
      </c>
      <c r="AR33" s="418">
        <f t="shared" si="26"/>
        <v>137.652021875</v>
      </c>
      <c r="AS33" s="418">
        <f t="shared" si="26"/>
        <v>137.652021875</v>
      </c>
      <c r="AT33" s="418">
        <f>AT16*$D$33</f>
        <v>137.652021875</v>
      </c>
      <c r="AU33" s="419">
        <f t="shared" ref="AU33:CL33" si="27">AU16*$D$33</f>
        <v>137.652021875</v>
      </c>
      <c r="AV33" s="419">
        <f t="shared" si="27"/>
        <v>137.652021875</v>
      </c>
      <c r="AW33" s="419">
        <f t="shared" si="27"/>
        <v>137.652021875</v>
      </c>
      <c r="AX33" s="419">
        <f t="shared" si="27"/>
        <v>137.652021875</v>
      </c>
      <c r="AY33" s="419">
        <f t="shared" si="27"/>
        <v>137.652021875</v>
      </c>
      <c r="AZ33" s="419">
        <f t="shared" si="27"/>
        <v>137.652021875</v>
      </c>
      <c r="BA33" s="419">
        <f t="shared" si="27"/>
        <v>137.652021875</v>
      </c>
      <c r="BB33" s="419">
        <f t="shared" si="27"/>
        <v>137.652021875</v>
      </c>
      <c r="BC33" s="419">
        <f t="shared" si="27"/>
        <v>137.652021875</v>
      </c>
      <c r="BD33" s="419">
        <f t="shared" si="27"/>
        <v>137.652021875</v>
      </c>
      <c r="BE33" s="419">
        <f t="shared" si="27"/>
        <v>137.652021875</v>
      </c>
      <c r="BF33" s="419">
        <f t="shared" si="27"/>
        <v>137.652021875</v>
      </c>
      <c r="BG33" s="419">
        <f t="shared" si="27"/>
        <v>137.652021875</v>
      </c>
      <c r="BH33" s="419">
        <f t="shared" si="27"/>
        <v>137.652021875</v>
      </c>
      <c r="BI33" s="419">
        <f t="shared" si="27"/>
        <v>137.652021875</v>
      </c>
      <c r="BJ33" s="419">
        <f t="shared" si="27"/>
        <v>137.652021875</v>
      </c>
      <c r="BK33" s="419">
        <f t="shared" si="27"/>
        <v>137.652021875</v>
      </c>
      <c r="BL33" s="419">
        <f t="shared" si="27"/>
        <v>137.652021875</v>
      </c>
      <c r="BM33" s="419">
        <f t="shared" si="27"/>
        <v>137.652021875</v>
      </c>
      <c r="BN33" s="419">
        <f t="shared" si="27"/>
        <v>137.652021875</v>
      </c>
      <c r="BO33" s="419">
        <f t="shared" si="27"/>
        <v>137.652021875</v>
      </c>
      <c r="BP33" s="419">
        <f t="shared" si="27"/>
        <v>137.652021875</v>
      </c>
      <c r="BQ33" s="419">
        <f t="shared" si="27"/>
        <v>137.652021875</v>
      </c>
      <c r="BR33" s="419">
        <f t="shared" si="27"/>
        <v>137.652021875</v>
      </c>
      <c r="BS33" s="419">
        <f t="shared" si="27"/>
        <v>137.652021875</v>
      </c>
      <c r="BT33" s="419">
        <f t="shared" si="27"/>
        <v>137.652021875</v>
      </c>
      <c r="BU33" s="419">
        <f t="shared" si="27"/>
        <v>137.652021875</v>
      </c>
      <c r="BV33" s="419">
        <f t="shared" si="27"/>
        <v>137.652021875</v>
      </c>
      <c r="BW33" s="419">
        <f t="shared" si="27"/>
        <v>137.652021875</v>
      </c>
      <c r="BX33" s="419">
        <f t="shared" si="27"/>
        <v>137.652021875</v>
      </c>
      <c r="BY33" s="419">
        <f t="shared" si="27"/>
        <v>137.652021875</v>
      </c>
      <c r="BZ33" s="419">
        <f t="shared" si="27"/>
        <v>137.652021875</v>
      </c>
      <c r="CA33" s="419">
        <f t="shared" si="27"/>
        <v>137.652021875</v>
      </c>
      <c r="CB33" s="419">
        <f t="shared" si="27"/>
        <v>137.652021875</v>
      </c>
      <c r="CC33" s="419">
        <f t="shared" si="27"/>
        <v>137.652021875</v>
      </c>
      <c r="CD33" s="419">
        <f t="shared" si="27"/>
        <v>137.652021875</v>
      </c>
      <c r="CE33" s="419">
        <f t="shared" si="27"/>
        <v>137.652021875</v>
      </c>
      <c r="CF33" s="419">
        <f t="shared" si="27"/>
        <v>137.652021875</v>
      </c>
      <c r="CG33" s="419">
        <f t="shared" si="27"/>
        <v>137.652021875</v>
      </c>
      <c r="CH33" s="419">
        <f t="shared" si="27"/>
        <v>137.652021875</v>
      </c>
      <c r="CI33" s="419">
        <f t="shared" si="27"/>
        <v>137.652021875</v>
      </c>
      <c r="CJ33" s="419">
        <f t="shared" si="27"/>
        <v>137.652021875</v>
      </c>
      <c r="CK33" s="419">
        <f t="shared" si="27"/>
        <v>137.652021875</v>
      </c>
      <c r="CL33" s="420">
        <f t="shared" si="27"/>
        <v>137.652021875</v>
      </c>
      <c r="CM33" s="363">
        <f t="shared" si="15"/>
        <v>142.1086326413689</v>
      </c>
      <c r="CN33" s="58"/>
      <c r="CO33" s="421">
        <v>41883</v>
      </c>
      <c r="CP33" s="421">
        <v>41913</v>
      </c>
      <c r="CQ33" s="421">
        <v>41944</v>
      </c>
      <c r="CR33" s="421">
        <v>41974</v>
      </c>
      <c r="CS33" s="421">
        <v>42005</v>
      </c>
      <c r="CT33" s="421">
        <v>42036</v>
      </c>
      <c r="CU33" s="421">
        <v>42064</v>
      </c>
      <c r="CV33" s="421">
        <v>42095</v>
      </c>
      <c r="CW33" s="421">
        <v>42125</v>
      </c>
      <c r="CX33" s="421">
        <v>42156</v>
      </c>
      <c r="CY33" s="421">
        <v>42186</v>
      </c>
      <c r="CZ33" s="421">
        <v>42217</v>
      </c>
      <c r="DA33" s="421">
        <v>42248</v>
      </c>
      <c r="DB33" s="421">
        <v>42278</v>
      </c>
      <c r="DC33" s="421">
        <v>42309</v>
      </c>
      <c r="DD33" s="421">
        <v>42339</v>
      </c>
      <c r="DE33" s="421">
        <v>42370</v>
      </c>
      <c r="DF33" s="421">
        <v>42401</v>
      </c>
      <c r="DG33" s="421">
        <v>42430</v>
      </c>
      <c r="DH33" s="421">
        <v>42461</v>
      </c>
      <c r="DI33" s="421">
        <v>42491</v>
      </c>
      <c r="DJ33" s="421">
        <v>42522</v>
      </c>
      <c r="DK33" s="421">
        <v>42552</v>
      </c>
      <c r="DL33" s="421">
        <v>42583</v>
      </c>
      <c r="DM33" s="421">
        <v>42614</v>
      </c>
      <c r="DN33" s="421">
        <v>42644</v>
      </c>
      <c r="DO33" s="421">
        <v>42675</v>
      </c>
      <c r="DP33" s="421">
        <v>42705</v>
      </c>
      <c r="DQ33" s="421">
        <v>42736</v>
      </c>
      <c r="DR33" s="421">
        <v>42767</v>
      </c>
      <c r="DS33" s="421">
        <v>42795</v>
      </c>
      <c r="DT33" s="421">
        <v>42826</v>
      </c>
      <c r="DU33" s="421">
        <v>42856</v>
      </c>
      <c r="DV33" s="421">
        <v>42887</v>
      </c>
      <c r="DW33" s="421">
        <v>42917</v>
      </c>
      <c r="DX33" s="421">
        <v>42948</v>
      </c>
      <c r="DY33" s="421">
        <v>42979</v>
      </c>
      <c r="DZ33" s="421">
        <v>43009</v>
      </c>
      <c r="EA33" s="421">
        <v>43040</v>
      </c>
      <c r="EB33" s="421">
        <v>43070</v>
      </c>
      <c r="EC33" s="421">
        <v>43101</v>
      </c>
      <c r="ED33" s="421">
        <v>43132</v>
      </c>
      <c r="EE33" s="421">
        <v>43160</v>
      </c>
      <c r="EF33" s="421">
        <v>43191</v>
      </c>
      <c r="EG33" s="421">
        <v>43221</v>
      </c>
      <c r="EH33" s="421">
        <v>43252</v>
      </c>
      <c r="EI33" s="421">
        <v>43282</v>
      </c>
      <c r="EJ33" s="421">
        <v>43313</v>
      </c>
      <c r="EK33" s="421">
        <v>43344</v>
      </c>
      <c r="EL33" s="421">
        <v>43374</v>
      </c>
      <c r="EM33" s="421">
        <v>43405</v>
      </c>
      <c r="EN33" s="421">
        <v>43435</v>
      </c>
      <c r="EO33" s="421">
        <v>43466</v>
      </c>
      <c r="EP33" s="421">
        <v>43497</v>
      </c>
      <c r="EQ33" s="421">
        <v>43525</v>
      </c>
      <c r="ER33" s="421">
        <v>43556</v>
      </c>
      <c r="ES33" s="421">
        <v>43586</v>
      </c>
      <c r="ET33" s="421">
        <v>43617</v>
      </c>
      <c r="EU33" s="421">
        <v>43647</v>
      </c>
      <c r="EV33" s="421">
        <v>43678</v>
      </c>
      <c r="EW33" s="421">
        <v>43709</v>
      </c>
      <c r="EX33" s="421">
        <v>43739</v>
      </c>
      <c r="EY33" s="421">
        <v>43770</v>
      </c>
      <c r="EZ33" s="421">
        <v>43800</v>
      </c>
      <c r="FA33" s="421">
        <v>43831</v>
      </c>
      <c r="FB33" s="421">
        <v>43862</v>
      </c>
      <c r="FC33" s="421">
        <v>43891</v>
      </c>
      <c r="FD33" s="421">
        <v>43922</v>
      </c>
      <c r="FE33" s="421">
        <v>43952</v>
      </c>
      <c r="FF33" s="421">
        <v>43983</v>
      </c>
      <c r="FG33" s="421">
        <v>44013</v>
      </c>
      <c r="FH33" s="421">
        <v>44044</v>
      </c>
      <c r="FI33" s="421">
        <v>44075</v>
      </c>
      <c r="FJ33" s="421">
        <v>44105</v>
      </c>
      <c r="FK33" s="421">
        <v>44136</v>
      </c>
      <c r="FL33" s="421">
        <v>44166</v>
      </c>
      <c r="FM33" s="421">
        <v>44197</v>
      </c>
      <c r="FN33" s="421">
        <v>44228</v>
      </c>
      <c r="FO33" s="421">
        <v>44256</v>
      </c>
      <c r="FP33" s="421">
        <v>44287</v>
      </c>
      <c r="FQ33" s="421">
        <v>44317</v>
      </c>
      <c r="FR33" s="421">
        <v>44348</v>
      </c>
      <c r="FS33" s="421">
        <v>44378</v>
      </c>
      <c r="FT33" s="421">
        <v>44409</v>
      </c>
      <c r="FU33" s="421">
        <v>44440</v>
      </c>
      <c r="FV33" s="371"/>
    </row>
    <row r="34" spans="1:179" ht="15" customHeight="1">
      <c r="A34" s="1073" t="s">
        <v>106</v>
      </c>
      <c r="B34" s="398" t="s">
        <v>307</v>
      </c>
      <c r="C34" s="399" t="s">
        <v>313</v>
      </c>
      <c r="D34" s="399">
        <v>1.61</v>
      </c>
      <c r="E34" s="1066" t="s">
        <v>316</v>
      </c>
      <c r="F34" s="422" t="s">
        <v>142</v>
      </c>
      <c r="G34" s="423">
        <f t="shared" ref="G34:R34" si="28">$D$34*G16</f>
        <v>147378.05833333335</v>
      </c>
      <c r="H34" s="423">
        <f t="shared" si="28"/>
        <v>147378.05833333335</v>
      </c>
      <c r="I34" s="423">
        <f t="shared" si="28"/>
        <v>147378.05833333335</v>
      </c>
      <c r="J34" s="423">
        <f t="shared" si="28"/>
        <v>147378.05833333335</v>
      </c>
      <c r="K34" s="423">
        <f t="shared" si="28"/>
        <v>147378.05833333335</v>
      </c>
      <c r="L34" s="423">
        <f t="shared" si="28"/>
        <v>147378.05833333335</v>
      </c>
      <c r="M34" s="423">
        <f t="shared" si="28"/>
        <v>147378.05833333335</v>
      </c>
      <c r="N34" s="423">
        <f t="shared" si="28"/>
        <v>147378.05833333335</v>
      </c>
      <c r="O34" s="423">
        <f t="shared" si="28"/>
        <v>147378.05833333335</v>
      </c>
      <c r="P34" s="423">
        <f t="shared" si="28"/>
        <v>147378.05833333335</v>
      </c>
      <c r="Q34" s="423">
        <f t="shared" si="28"/>
        <v>147378.05833333335</v>
      </c>
      <c r="R34" s="423">
        <f t="shared" si="28"/>
        <v>147378.05833333335</v>
      </c>
      <c r="S34" s="423">
        <f>$D$34*S16</f>
        <v>147378.05833333335</v>
      </c>
      <c r="T34" s="423">
        <f t="shared" ref="T34:CE34" si="29">$D$34*T16</f>
        <v>147378.05833333335</v>
      </c>
      <c r="U34" s="423">
        <f t="shared" si="29"/>
        <v>147378.05833333335</v>
      </c>
      <c r="V34" s="423">
        <f t="shared" si="29"/>
        <v>147378.05833333335</v>
      </c>
      <c r="W34" s="423">
        <f t="shared" si="29"/>
        <v>147378.05833333335</v>
      </c>
      <c r="X34" s="423">
        <f t="shared" si="29"/>
        <v>147378.05833333335</v>
      </c>
      <c r="Y34" s="423">
        <f t="shared" si="29"/>
        <v>147378.05833333335</v>
      </c>
      <c r="Z34" s="423">
        <f t="shared" si="29"/>
        <v>147378.05833333335</v>
      </c>
      <c r="AA34" s="423">
        <f t="shared" si="29"/>
        <v>147378.05833333335</v>
      </c>
      <c r="AB34" s="423">
        <f t="shared" si="29"/>
        <v>147378.05833333335</v>
      </c>
      <c r="AC34" s="423">
        <f t="shared" si="29"/>
        <v>147378.05833333335</v>
      </c>
      <c r="AD34" s="423">
        <f t="shared" si="29"/>
        <v>147378.05833333335</v>
      </c>
      <c r="AE34" s="423">
        <f t="shared" si="29"/>
        <v>147378.05833333335</v>
      </c>
      <c r="AF34" s="423">
        <f t="shared" si="29"/>
        <v>147378.05833333335</v>
      </c>
      <c r="AG34" s="423">
        <f t="shared" si="29"/>
        <v>147378.05833333335</v>
      </c>
      <c r="AH34" s="423">
        <f t="shared" si="29"/>
        <v>147378.05833333335</v>
      </c>
      <c r="AI34" s="423">
        <f t="shared" si="29"/>
        <v>147378.05833333335</v>
      </c>
      <c r="AJ34" s="423">
        <f t="shared" si="29"/>
        <v>147378.05833333335</v>
      </c>
      <c r="AK34" s="423">
        <f t="shared" si="29"/>
        <v>147378.05833333335</v>
      </c>
      <c r="AL34" s="423">
        <f t="shared" si="29"/>
        <v>147378.05833333335</v>
      </c>
      <c r="AM34" s="423">
        <f t="shared" si="29"/>
        <v>147378.05833333335</v>
      </c>
      <c r="AN34" s="423">
        <f t="shared" si="29"/>
        <v>147378.05833333335</v>
      </c>
      <c r="AO34" s="423">
        <f t="shared" si="29"/>
        <v>147378.05833333335</v>
      </c>
      <c r="AP34" s="423">
        <f t="shared" si="29"/>
        <v>147378.05833333335</v>
      </c>
      <c r="AQ34" s="423">
        <f t="shared" si="29"/>
        <v>147378.05833333335</v>
      </c>
      <c r="AR34" s="423">
        <f t="shared" si="29"/>
        <v>147378.05833333335</v>
      </c>
      <c r="AS34" s="423">
        <f t="shared" si="29"/>
        <v>147378.05833333335</v>
      </c>
      <c r="AT34" s="423">
        <f t="shared" si="29"/>
        <v>147378.05833333335</v>
      </c>
      <c r="AU34" s="424">
        <f t="shared" si="29"/>
        <v>147378.05833333335</v>
      </c>
      <c r="AV34" s="424">
        <f t="shared" si="29"/>
        <v>147378.05833333335</v>
      </c>
      <c r="AW34" s="424">
        <f t="shared" si="29"/>
        <v>147378.05833333335</v>
      </c>
      <c r="AX34" s="424">
        <f t="shared" si="29"/>
        <v>147378.05833333335</v>
      </c>
      <c r="AY34" s="424">
        <f t="shared" si="29"/>
        <v>147378.05833333335</v>
      </c>
      <c r="AZ34" s="424">
        <f t="shared" si="29"/>
        <v>147378.05833333335</v>
      </c>
      <c r="BA34" s="424">
        <f t="shared" si="29"/>
        <v>147378.05833333335</v>
      </c>
      <c r="BB34" s="424">
        <f t="shared" si="29"/>
        <v>147378.05833333335</v>
      </c>
      <c r="BC34" s="424">
        <f t="shared" si="29"/>
        <v>147378.05833333335</v>
      </c>
      <c r="BD34" s="424">
        <f t="shared" si="29"/>
        <v>147378.05833333335</v>
      </c>
      <c r="BE34" s="424">
        <f t="shared" si="29"/>
        <v>147378.05833333335</v>
      </c>
      <c r="BF34" s="424">
        <f t="shared" si="29"/>
        <v>147378.05833333335</v>
      </c>
      <c r="BG34" s="424">
        <f t="shared" si="29"/>
        <v>147378.05833333335</v>
      </c>
      <c r="BH34" s="424">
        <f t="shared" si="29"/>
        <v>147378.05833333335</v>
      </c>
      <c r="BI34" s="424">
        <f t="shared" si="29"/>
        <v>147378.05833333335</v>
      </c>
      <c r="BJ34" s="424">
        <f t="shared" si="29"/>
        <v>147378.05833333335</v>
      </c>
      <c r="BK34" s="424">
        <f t="shared" si="29"/>
        <v>147378.05833333335</v>
      </c>
      <c r="BL34" s="424">
        <f t="shared" si="29"/>
        <v>147378.05833333335</v>
      </c>
      <c r="BM34" s="424">
        <f t="shared" si="29"/>
        <v>147378.05833333335</v>
      </c>
      <c r="BN34" s="424">
        <f t="shared" si="29"/>
        <v>147378.05833333335</v>
      </c>
      <c r="BO34" s="424">
        <f t="shared" si="29"/>
        <v>147378.05833333335</v>
      </c>
      <c r="BP34" s="424">
        <f t="shared" si="29"/>
        <v>147378.05833333335</v>
      </c>
      <c r="BQ34" s="424">
        <f t="shared" si="29"/>
        <v>147378.05833333335</v>
      </c>
      <c r="BR34" s="424">
        <f t="shared" si="29"/>
        <v>147378.05833333335</v>
      </c>
      <c r="BS34" s="424">
        <f t="shared" si="29"/>
        <v>147378.05833333335</v>
      </c>
      <c r="BT34" s="424">
        <f t="shared" si="29"/>
        <v>147378.05833333335</v>
      </c>
      <c r="BU34" s="424">
        <f t="shared" si="29"/>
        <v>147378.05833333335</v>
      </c>
      <c r="BV34" s="424">
        <f t="shared" si="29"/>
        <v>147378.05833333335</v>
      </c>
      <c r="BW34" s="424">
        <f t="shared" si="29"/>
        <v>147378.05833333335</v>
      </c>
      <c r="BX34" s="424">
        <f t="shared" si="29"/>
        <v>147378.05833333335</v>
      </c>
      <c r="BY34" s="424">
        <f t="shared" si="29"/>
        <v>147378.05833333335</v>
      </c>
      <c r="BZ34" s="424">
        <f t="shared" si="29"/>
        <v>147378.05833333335</v>
      </c>
      <c r="CA34" s="424">
        <f t="shared" si="29"/>
        <v>147378.05833333335</v>
      </c>
      <c r="CB34" s="424">
        <f t="shared" si="29"/>
        <v>147378.05833333335</v>
      </c>
      <c r="CC34" s="424">
        <f t="shared" si="29"/>
        <v>147378.05833333335</v>
      </c>
      <c r="CD34" s="424">
        <f t="shared" si="29"/>
        <v>147378.05833333335</v>
      </c>
      <c r="CE34" s="424">
        <f t="shared" si="29"/>
        <v>147378.05833333335</v>
      </c>
      <c r="CF34" s="424">
        <f t="shared" ref="CF34:CL34" si="30">$D$34*CF16</f>
        <v>147378.05833333335</v>
      </c>
      <c r="CG34" s="424">
        <f t="shared" si="30"/>
        <v>147378.05833333335</v>
      </c>
      <c r="CH34" s="424">
        <f t="shared" si="30"/>
        <v>147378.05833333335</v>
      </c>
      <c r="CI34" s="424">
        <f t="shared" si="30"/>
        <v>147378.05833333335</v>
      </c>
      <c r="CJ34" s="424">
        <f t="shared" si="30"/>
        <v>147378.05833333335</v>
      </c>
      <c r="CK34" s="424">
        <f t="shared" si="30"/>
        <v>147378.05833333335</v>
      </c>
      <c r="CL34" s="422">
        <f t="shared" si="30"/>
        <v>147378.05833333335</v>
      </c>
      <c r="CM34" s="425">
        <f t="shared" si="15"/>
        <v>147378.05833333352</v>
      </c>
      <c r="CN34" s="426" t="s">
        <v>319</v>
      </c>
      <c r="CO34" s="427">
        <v>6.12</v>
      </c>
      <c r="CP34" s="427">
        <v>6.12</v>
      </c>
      <c r="CQ34" s="427">
        <v>6.12</v>
      </c>
      <c r="CR34" s="427">
        <v>6.12</v>
      </c>
      <c r="CS34" s="427">
        <v>6.24</v>
      </c>
      <c r="CT34" s="427">
        <v>6.24</v>
      </c>
      <c r="CU34" s="427">
        <v>6.28</v>
      </c>
      <c r="CV34" s="427">
        <v>6.28</v>
      </c>
      <c r="CW34" s="427">
        <v>6.32</v>
      </c>
      <c r="CX34" s="427">
        <v>6.32</v>
      </c>
      <c r="CY34" s="427">
        <v>6.47</v>
      </c>
      <c r="CZ34" s="427">
        <v>6.47</v>
      </c>
      <c r="DA34" s="427">
        <v>6.47</v>
      </c>
      <c r="DB34" s="427">
        <v>6.51</v>
      </c>
      <c r="DC34" s="427">
        <v>6.6447253073219397</v>
      </c>
      <c r="DD34" s="427">
        <v>6.6592391374311397</v>
      </c>
      <c r="DE34" s="427">
        <v>6.6737529675403398</v>
      </c>
      <c r="DF34" s="427">
        <v>6.6882667976495496</v>
      </c>
      <c r="DG34" s="427">
        <v>6.7027806277587496</v>
      </c>
      <c r="DH34" s="427">
        <v>6.7172944578679497</v>
      </c>
      <c r="DI34" s="427">
        <v>6.7318082879771604</v>
      </c>
      <c r="DJ34" s="427">
        <v>6.7463221180863604</v>
      </c>
      <c r="DK34" s="427">
        <v>6.7608359481955604</v>
      </c>
      <c r="DL34" s="427">
        <v>6.7753497783047703</v>
      </c>
      <c r="DM34" s="427">
        <v>6.7898636084139703</v>
      </c>
      <c r="DN34" s="427">
        <v>6.91</v>
      </c>
      <c r="DO34" s="427">
        <v>6.8188912686323802</v>
      </c>
      <c r="DP34" s="427">
        <v>6.86</v>
      </c>
      <c r="DQ34" s="427">
        <v>6.8479189288507802</v>
      </c>
      <c r="DR34" s="427">
        <v>6.8624327589599803</v>
      </c>
      <c r="DS34" s="427">
        <v>6.8769465890691901</v>
      </c>
      <c r="DT34" s="427">
        <v>6.8914604191783901</v>
      </c>
      <c r="DU34" s="427">
        <v>6.9059742492875902</v>
      </c>
      <c r="DV34" s="427">
        <v>6.9204880793968</v>
      </c>
      <c r="DW34" s="427">
        <v>6.935001909506</v>
      </c>
      <c r="DX34" s="427">
        <v>6.9495157396152001</v>
      </c>
      <c r="DY34" s="427">
        <v>6.9640295697244099</v>
      </c>
      <c r="DZ34" s="427">
        <v>6.9785433998336099</v>
      </c>
      <c r="EA34" s="427">
        <v>6.99305722994281</v>
      </c>
      <c r="EB34" s="427">
        <v>7.0075710600520198</v>
      </c>
      <c r="EC34" s="427">
        <v>5.2450000000000001</v>
      </c>
      <c r="ED34" s="427">
        <v>7.48</v>
      </c>
      <c r="EE34" s="427">
        <v>7.6002255138846202</v>
      </c>
      <c r="EF34" s="427">
        <v>6.65</v>
      </c>
      <c r="EG34" s="427">
        <v>6.77</v>
      </c>
      <c r="EH34" s="427">
        <v>6.83</v>
      </c>
      <c r="EI34" s="427">
        <v>8.23</v>
      </c>
      <c r="EJ34" s="427">
        <v>8.2200000000000006</v>
      </c>
      <c r="EK34" s="427">
        <v>7.32</v>
      </c>
      <c r="EL34" s="427">
        <v>8.18</v>
      </c>
      <c r="EM34" s="427">
        <v>7.53</v>
      </c>
      <c r="EN34" s="427">
        <v>7.13</v>
      </c>
      <c r="EO34" s="427">
        <v>6.42</v>
      </c>
      <c r="EP34" s="427">
        <v>7.18</v>
      </c>
      <c r="EQ34" s="427">
        <v>6.07</v>
      </c>
      <c r="ER34" s="427">
        <v>4.8415999999999997</v>
      </c>
      <c r="ES34" s="427">
        <v>4.8899999999999997</v>
      </c>
      <c r="ET34" s="427">
        <v>5.4</v>
      </c>
      <c r="EU34" s="427">
        <v>5.84</v>
      </c>
      <c r="EV34" s="427">
        <v>5.76</v>
      </c>
      <c r="EW34" s="427">
        <v>5.46</v>
      </c>
      <c r="EX34" s="427">
        <v>6.36</v>
      </c>
      <c r="EY34" s="427">
        <v>6.17</v>
      </c>
      <c r="EZ34" s="427">
        <v>6.84</v>
      </c>
      <c r="FA34" s="427">
        <v>5.67</v>
      </c>
      <c r="FB34" s="427">
        <v>5.33</v>
      </c>
      <c r="FC34" s="427">
        <v>3.69</v>
      </c>
      <c r="FD34" s="427">
        <v>4.9800000000000004</v>
      </c>
      <c r="FE34" s="427">
        <v>4.4800000000000004</v>
      </c>
      <c r="FF34" s="427">
        <v>3</v>
      </c>
      <c r="FG34" s="427">
        <v>2.6</v>
      </c>
      <c r="FH34" s="427">
        <v>3.43</v>
      </c>
      <c r="FI34" s="427">
        <v>4.3499999999999996</v>
      </c>
      <c r="FJ34" s="427">
        <v>4.68</v>
      </c>
      <c r="FK34" s="427">
        <v>5.0999999999999996</v>
      </c>
      <c r="FL34" s="427">
        <v>6.03</v>
      </c>
      <c r="FM34" s="427">
        <v>6.67</v>
      </c>
      <c r="FN34" s="427">
        <v>8.02</v>
      </c>
      <c r="FO34" s="427">
        <v>7.23</v>
      </c>
      <c r="FP34" s="427">
        <v>5.36</v>
      </c>
      <c r="FQ34" s="427">
        <v>5.15</v>
      </c>
      <c r="FR34" s="427">
        <v>5.64</v>
      </c>
      <c r="FS34" s="427">
        <v>6.42</v>
      </c>
      <c r="FT34" s="427">
        <v>7.17</v>
      </c>
      <c r="FU34" s="427">
        <v>7.47</v>
      </c>
      <c r="FV34" s="428">
        <f t="shared" ref="FV34:FV41" si="31">AVERAGE(EC34:FU34)</f>
        <v>6.0197072336418813</v>
      </c>
      <c r="FW34" s="312"/>
    </row>
    <row r="35" spans="1:179">
      <c r="A35" s="1074"/>
      <c r="B35" s="398" t="s">
        <v>307</v>
      </c>
      <c r="C35" s="399" t="s">
        <v>313</v>
      </c>
      <c r="D35" s="399">
        <v>514.32000000000005</v>
      </c>
      <c r="E35" s="1066"/>
      <c r="F35" s="422" t="s">
        <v>133</v>
      </c>
      <c r="G35" s="423">
        <f t="shared" ref="G35:BR35" si="32">$D$35*G16</f>
        <v>47080424.20000001</v>
      </c>
      <c r="H35" s="423">
        <f t="shared" si="32"/>
        <v>47080424.20000001</v>
      </c>
      <c r="I35" s="423">
        <f t="shared" si="32"/>
        <v>47080424.20000001</v>
      </c>
      <c r="J35" s="423">
        <f t="shared" si="32"/>
        <v>47080424.20000001</v>
      </c>
      <c r="K35" s="423">
        <f t="shared" si="32"/>
        <v>47080424.20000001</v>
      </c>
      <c r="L35" s="423">
        <f t="shared" si="32"/>
        <v>47080424.20000001</v>
      </c>
      <c r="M35" s="423">
        <f t="shared" si="32"/>
        <v>47080424.20000001</v>
      </c>
      <c r="N35" s="423">
        <f t="shared" si="32"/>
        <v>47080424.20000001</v>
      </c>
      <c r="O35" s="423">
        <f t="shared" si="32"/>
        <v>47080424.20000001</v>
      </c>
      <c r="P35" s="423">
        <f t="shared" si="32"/>
        <v>47080424.20000001</v>
      </c>
      <c r="Q35" s="423">
        <f t="shared" si="32"/>
        <v>47080424.20000001</v>
      </c>
      <c r="R35" s="423">
        <f t="shared" si="32"/>
        <v>47080424.20000001</v>
      </c>
      <c r="S35" s="423">
        <f t="shared" si="32"/>
        <v>47080424.20000001</v>
      </c>
      <c r="T35" s="423">
        <f t="shared" si="32"/>
        <v>47080424.20000001</v>
      </c>
      <c r="U35" s="423">
        <f t="shared" si="32"/>
        <v>47080424.20000001</v>
      </c>
      <c r="V35" s="423">
        <f t="shared" si="32"/>
        <v>47080424.20000001</v>
      </c>
      <c r="W35" s="423">
        <f t="shared" si="32"/>
        <v>47080424.20000001</v>
      </c>
      <c r="X35" s="423">
        <f t="shared" si="32"/>
        <v>47080424.20000001</v>
      </c>
      <c r="Y35" s="423">
        <f t="shared" si="32"/>
        <v>47080424.20000001</v>
      </c>
      <c r="Z35" s="423">
        <f t="shared" si="32"/>
        <v>47080424.20000001</v>
      </c>
      <c r="AA35" s="423">
        <f t="shared" si="32"/>
        <v>47080424.20000001</v>
      </c>
      <c r="AB35" s="423">
        <f t="shared" si="32"/>
        <v>47080424.20000001</v>
      </c>
      <c r="AC35" s="423">
        <f t="shared" si="32"/>
        <v>47080424.20000001</v>
      </c>
      <c r="AD35" s="423">
        <f t="shared" si="32"/>
        <v>47080424.20000001</v>
      </c>
      <c r="AE35" s="423">
        <f t="shared" si="32"/>
        <v>47080424.20000001</v>
      </c>
      <c r="AF35" s="423">
        <f t="shared" si="32"/>
        <v>47080424.20000001</v>
      </c>
      <c r="AG35" s="423">
        <f t="shared" si="32"/>
        <v>47080424.20000001</v>
      </c>
      <c r="AH35" s="423">
        <f t="shared" si="32"/>
        <v>47080424.20000001</v>
      </c>
      <c r="AI35" s="423">
        <f t="shared" si="32"/>
        <v>47080424.20000001</v>
      </c>
      <c r="AJ35" s="423">
        <f t="shared" si="32"/>
        <v>47080424.20000001</v>
      </c>
      <c r="AK35" s="423">
        <f t="shared" si="32"/>
        <v>47080424.20000001</v>
      </c>
      <c r="AL35" s="423">
        <f t="shared" si="32"/>
        <v>47080424.20000001</v>
      </c>
      <c r="AM35" s="423">
        <f t="shared" si="32"/>
        <v>47080424.20000001</v>
      </c>
      <c r="AN35" s="423">
        <f t="shared" si="32"/>
        <v>47080424.20000001</v>
      </c>
      <c r="AO35" s="423">
        <f t="shared" si="32"/>
        <v>47080424.20000001</v>
      </c>
      <c r="AP35" s="423">
        <f t="shared" si="32"/>
        <v>47080424.20000001</v>
      </c>
      <c r="AQ35" s="423">
        <f t="shared" si="32"/>
        <v>47080424.20000001</v>
      </c>
      <c r="AR35" s="423">
        <f t="shared" si="32"/>
        <v>47080424.20000001</v>
      </c>
      <c r="AS35" s="423">
        <f t="shared" si="32"/>
        <v>47080424.20000001</v>
      </c>
      <c r="AT35" s="423">
        <f t="shared" si="32"/>
        <v>47080424.20000001</v>
      </c>
      <c r="AU35" s="424">
        <f t="shared" si="32"/>
        <v>47080424.20000001</v>
      </c>
      <c r="AV35" s="424">
        <f t="shared" si="32"/>
        <v>47080424.20000001</v>
      </c>
      <c r="AW35" s="424">
        <f t="shared" si="32"/>
        <v>47080424.20000001</v>
      </c>
      <c r="AX35" s="424">
        <f t="shared" si="32"/>
        <v>47080424.20000001</v>
      </c>
      <c r="AY35" s="424">
        <f t="shared" si="32"/>
        <v>47080424.20000001</v>
      </c>
      <c r="AZ35" s="424">
        <f t="shared" si="32"/>
        <v>47080424.20000001</v>
      </c>
      <c r="BA35" s="424">
        <f t="shared" si="32"/>
        <v>47080424.20000001</v>
      </c>
      <c r="BB35" s="424">
        <f t="shared" si="32"/>
        <v>47080424.20000001</v>
      </c>
      <c r="BC35" s="424">
        <f t="shared" si="32"/>
        <v>47080424.20000001</v>
      </c>
      <c r="BD35" s="424">
        <f t="shared" si="32"/>
        <v>47080424.20000001</v>
      </c>
      <c r="BE35" s="424">
        <f t="shared" si="32"/>
        <v>47080424.20000001</v>
      </c>
      <c r="BF35" s="424">
        <f t="shared" si="32"/>
        <v>47080424.20000001</v>
      </c>
      <c r="BG35" s="424">
        <f t="shared" si="32"/>
        <v>47080424.20000001</v>
      </c>
      <c r="BH35" s="424">
        <f t="shared" si="32"/>
        <v>47080424.20000001</v>
      </c>
      <c r="BI35" s="424">
        <f t="shared" si="32"/>
        <v>47080424.20000001</v>
      </c>
      <c r="BJ35" s="424">
        <f t="shared" si="32"/>
        <v>47080424.20000001</v>
      </c>
      <c r="BK35" s="424">
        <f t="shared" si="32"/>
        <v>47080424.20000001</v>
      </c>
      <c r="BL35" s="424">
        <f t="shared" si="32"/>
        <v>47080424.20000001</v>
      </c>
      <c r="BM35" s="424">
        <f t="shared" si="32"/>
        <v>47080424.20000001</v>
      </c>
      <c r="BN35" s="424">
        <f t="shared" si="32"/>
        <v>47080424.20000001</v>
      </c>
      <c r="BO35" s="424">
        <f t="shared" si="32"/>
        <v>47080424.20000001</v>
      </c>
      <c r="BP35" s="424">
        <f t="shared" si="32"/>
        <v>47080424.20000001</v>
      </c>
      <c r="BQ35" s="424">
        <f t="shared" si="32"/>
        <v>47080424.20000001</v>
      </c>
      <c r="BR35" s="424">
        <f t="shared" si="32"/>
        <v>47080424.20000001</v>
      </c>
      <c r="BS35" s="424">
        <f t="shared" ref="BS35:CL35" si="33">$D$35*BS16</f>
        <v>47080424.20000001</v>
      </c>
      <c r="BT35" s="424">
        <f t="shared" si="33"/>
        <v>47080424.20000001</v>
      </c>
      <c r="BU35" s="424">
        <f t="shared" si="33"/>
        <v>47080424.20000001</v>
      </c>
      <c r="BV35" s="424">
        <f t="shared" si="33"/>
        <v>47080424.20000001</v>
      </c>
      <c r="BW35" s="424">
        <f t="shared" si="33"/>
        <v>47080424.20000001</v>
      </c>
      <c r="BX35" s="424">
        <f t="shared" si="33"/>
        <v>47080424.20000001</v>
      </c>
      <c r="BY35" s="424">
        <f t="shared" si="33"/>
        <v>47080424.20000001</v>
      </c>
      <c r="BZ35" s="424">
        <f t="shared" si="33"/>
        <v>47080424.20000001</v>
      </c>
      <c r="CA35" s="424">
        <f t="shared" si="33"/>
        <v>47080424.20000001</v>
      </c>
      <c r="CB35" s="424">
        <f t="shared" si="33"/>
        <v>47080424.20000001</v>
      </c>
      <c r="CC35" s="424">
        <f t="shared" si="33"/>
        <v>47080424.20000001</v>
      </c>
      <c r="CD35" s="424">
        <f t="shared" si="33"/>
        <v>47080424.20000001</v>
      </c>
      <c r="CE35" s="424">
        <f t="shared" si="33"/>
        <v>47080424.20000001</v>
      </c>
      <c r="CF35" s="424">
        <f t="shared" si="33"/>
        <v>47080424.20000001</v>
      </c>
      <c r="CG35" s="424">
        <f t="shared" si="33"/>
        <v>47080424.20000001</v>
      </c>
      <c r="CH35" s="424">
        <f t="shared" si="33"/>
        <v>47080424.20000001</v>
      </c>
      <c r="CI35" s="424">
        <f t="shared" si="33"/>
        <v>47080424.20000001</v>
      </c>
      <c r="CJ35" s="424">
        <f t="shared" si="33"/>
        <v>47080424.20000001</v>
      </c>
      <c r="CK35" s="424">
        <f t="shared" si="33"/>
        <v>47080424.20000001</v>
      </c>
      <c r="CL35" s="422">
        <f t="shared" si="33"/>
        <v>47080424.20000001</v>
      </c>
      <c r="CM35" s="397">
        <f t="shared" si="15"/>
        <v>47080424.199999928</v>
      </c>
      <c r="CN35" s="429" t="s">
        <v>320</v>
      </c>
      <c r="CO35" s="430">
        <v>2198.1265252613698</v>
      </c>
      <c r="CP35" s="430">
        <v>2198.1265252613698</v>
      </c>
      <c r="CQ35" s="430">
        <v>2198.1265252613698</v>
      </c>
      <c r="CR35" s="430">
        <v>2198.1265252613698</v>
      </c>
      <c r="CS35" s="430">
        <v>2198.1265252613698</v>
      </c>
      <c r="CT35" s="430">
        <v>2198.1265252613698</v>
      </c>
      <c r="CU35" s="430">
        <v>2198.1265252613698</v>
      </c>
      <c r="CV35" s="430">
        <v>2198.1265252613698</v>
      </c>
      <c r="CW35" s="430">
        <v>2204.6719970040999</v>
      </c>
      <c r="CX35" s="430">
        <v>2198.1265252613698</v>
      </c>
      <c r="CY35" s="430">
        <v>2204.6719970040999</v>
      </c>
      <c r="CZ35" s="430">
        <v>2211.21746874684</v>
      </c>
      <c r="DA35" s="430">
        <v>2217.7629404895802</v>
      </c>
      <c r="DB35" s="430">
        <v>2224.3084122323098</v>
      </c>
      <c r="DC35" s="430">
        <v>2230.8538839750499</v>
      </c>
      <c r="DD35" s="430">
        <v>2237.3993557177901</v>
      </c>
      <c r="DE35" s="430">
        <v>2243.9448274605202</v>
      </c>
      <c r="DF35" s="430">
        <v>2250.4902992032598</v>
      </c>
      <c r="DG35" s="430">
        <v>2257.03577094599</v>
      </c>
      <c r="DH35" s="430">
        <v>2263.5812426887301</v>
      </c>
      <c r="DI35" s="430">
        <v>2270.1267144314702</v>
      </c>
      <c r="DJ35" s="430">
        <v>2276.6721861741999</v>
      </c>
      <c r="DK35" s="430">
        <v>2283.21765791694</v>
      </c>
      <c r="DL35" s="430">
        <v>2289.7631296596801</v>
      </c>
      <c r="DM35" s="430">
        <v>2296.3086014024102</v>
      </c>
      <c r="DN35" s="430">
        <v>2302.8540731451499</v>
      </c>
      <c r="DO35" s="430">
        <v>2309.39954488788</v>
      </c>
      <c r="DP35" s="430">
        <v>2315.9450166306201</v>
      </c>
      <c r="DQ35" s="430">
        <v>2322.4904883733602</v>
      </c>
      <c r="DR35" s="430">
        <v>2329.0359601160899</v>
      </c>
      <c r="DS35" s="430">
        <v>2335.58143185883</v>
      </c>
      <c r="DT35" s="430">
        <v>2342.1269036015701</v>
      </c>
      <c r="DU35" s="430">
        <v>2348.6723753442998</v>
      </c>
      <c r="DV35" s="430">
        <v>2355.2178470870399</v>
      </c>
      <c r="DW35" s="430">
        <v>2361.76331882977</v>
      </c>
      <c r="DX35" s="430">
        <v>2368.3087905725101</v>
      </c>
      <c r="DY35" s="430">
        <v>2374.8542623152498</v>
      </c>
      <c r="DZ35" s="430">
        <v>2381.3997340579799</v>
      </c>
      <c r="EA35" s="430">
        <v>2387.94520580072</v>
      </c>
      <c r="EB35" s="430">
        <v>2394.4906775434602</v>
      </c>
      <c r="EC35" s="430">
        <v>1659</v>
      </c>
      <c r="ED35" s="430">
        <v>2237</v>
      </c>
      <c r="EE35" s="430">
        <v>2255.1410444563789</v>
      </c>
      <c r="EF35" s="430">
        <v>2146.2487431145209</v>
      </c>
      <c r="EG35" s="430">
        <v>2418.3910474276554</v>
      </c>
      <c r="EH35" s="430">
        <v>2701.6199743644243</v>
      </c>
      <c r="EI35" s="430">
        <v>2777.0407045596344</v>
      </c>
      <c r="EJ35" s="430">
        <v>2836.6205896021006</v>
      </c>
      <c r="EK35" s="430">
        <v>2780.2581602607625</v>
      </c>
      <c r="EL35" s="430">
        <v>3053.926570501239</v>
      </c>
      <c r="EM35" s="430">
        <v>2836.1664048306907</v>
      </c>
      <c r="EN35" s="430">
        <v>2611.932049598453</v>
      </c>
      <c r="EO35" s="430">
        <v>2577.919484614094</v>
      </c>
      <c r="EP35" s="430">
        <v>2856.2006891112787</v>
      </c>
      <c r="EQ35" s="430">
        <v>2469.3423214225581</v>
      </c>
      <c r="ER35" s="430">
        <v>2091.94</v>
      </c>
      <c r="ES35" s="430">
        <v>2025.12</v>
      </c>
      <c r="ET35" s="430">
        <v>2197.69</v>
      </c>
      <c r="EU35" s="430">
        <v>2450.21</v>
      </c>
      <c r="EV35" s="430">
        <v>2188.85</v>
      </c>
      <c r="EW35" s="430">
        <v>2098.58</v>
      </c>
      <c r="EX35" s="430">
        <v>2650.93</v>
      </c>
      <c r="EY35" s="430">
        <v>2588.92</v>
      </c>
      <c r="EZ35" s="430">
        <v>2922.37</v>
      </c>
      <c r="FA35" s="430">
        <v>2398.6999999999998</v>
      </c>
      <c r="FB35" s="430">
        <v>2269.4</v>
      </c>
      <c r="FC35" s="430">
        <v>1425.69</v>
      </c>
      <c r="FD35" s="430">
        <v>1908.42</v>
      </c>
      <c r="FE35" s="430">
        <v>1785.56</v>
      </c>
      <c r="FF35" s="430">
        <v>1111.8399999999999</v>
      </c>
      <c r="FG35" s="430">
        <v>1033.04</v>
      </c>
      <c r="FH35" s="430">
        <v>1321.01</v>
      </c>
      <c r="FI35" s="430">
        <v>1668.98</v>
      </c>
      <c r="FJ35" s="430">
        <v>1783.8</v>
      </c>
      <c r="FK35" s="430">
        <v>2035.2</v>
      </c>
      <c r="FL35" s="430">
        <v>2259.19</v>
      </c>
      <c r="FM35" s="430">
        <v>2699.1</v>
      </c>
      <c r="FN35" s="430">
        <v>3294.54</v>
      </c>
      <c r="FO35" s="430">
        <v>2840.46</v>
      </c>
      <c r="FP35" s="430">
        <v>2266.15</v>
      </c>
      <c r="FQ35" s="430">
        <v>2243.14</v>
      </c>
      <c r="FR35" s="430">
        <v>2506.4699999999998</v>
      </c>
      <c r="FS35" s="430">
        <v>2911.57</v>
      </c>
      <c r="FT35" s="430">
        <v>3467.2</v>
      </c>
      <c r="FU35" s="430">
        <v>3800.16</v>
      </c>
      <c r="FV35" s="271">
        <f t="shared" si="31"/>
        <v>2365.8008396414175</v>
      </c>
      <c r="FW35" s="312"/>
    </row>
    <row r="36" spans="1:179">
      <c r="A36" s="1074"/>
      <c r="B36" s="398" t="s">
        <v>307</v>
      </c>
      <c r="C36" s="399" t="s">
        <v>313</v>
      </c>
      <c r="D36" s="399">
        <v>0.51</v>
      </c>
      <c r="E36" s="1066"/>
      <c r="F36" s="422" t="s">
        <v>132</v>
      </c>
      <c r="G36" s="423">
        <f t="shared" ref="G36:BR36" si="34">$D$36*G16</f>
        <v>46684.975000000006</v>
      </c>
      <c r="H36" s="423">
        <f t="shared" si="34"/>
        <v>46684.975000000006</v>
      </c>
      <c r="I36" s="423">
        <f t="shared" si="34"/>
        <v>46684.975000000006</v>
      </c>
      <c r="J36" s="423">
        <f t="shared" si="34"/>
        <v>46684.975000000006</v>
      </c>
      <c r="K36" s="423">
        <f t="shared" si="34"/>
        <v>46684.975000000006</v>
      </c>
      <c r="L36" s="423">
        <f t="shared" si="34"/>
        <v>46684.975000000006</v>
      </c>
      <c r="M36" s="423">
        <f t="shared" si="34"/>
        <v>46684.975000000006</v>
      </c>
      <c r="N36" s="423">
        <f t="shared" si="34"/>
        <v>46684.975000000006</v>
      </c>
      <c r="O36" s="423">
        <f t="shared" si="34"/>
        <v>46684.975000000006</v>
      </c>
      <c r="P36" s="423">
        <f t="shared" si="34"/>
        <v>46684.975000000006</v>
      </c>
      <c r="Q36" s="423">
        <f t="shared" si="34"/>
        <v>46684.975000000006</v>
      </c>
      <c r="R36" s="423">
        <f t="shared" si="34"/>
        <v>46684.975000000006</v>
      </c>
      <c r="S36" s="423">
        <f t="shared" si="34"/>
        <v>46684.975000000006</v>
      </c>
      <c r="T36" s="423">
        <f t="shared" si="34"/>
        <v>46684.975000000006</v>
      </c>
      <c r="U36" s="423">
        <f t="shared" si="34"/>
        <v>46684.975000000006</v>
      </c>
      <c r="V36" s="423">
        <f t="shared" si="34"/>
        <v>46684.975000000006</v>
      </c>
      <c r="W36" s="423">
        <f t="shared" si="34"/>
        <v>46684.975000000006</v>
      </c>
      <c r="X36" s="423">
        <f t="shared" si="34"/>
        <v>46684.975000000006</v>
      </c>
      <c r="Y36" s="423">
        <f t="shared" si="34"/>
        <v>46684.975000000006</v>
      </c>
      <c r="Z36" s="423">
        <f t="shared" si="34"/>
        <v>46684.975000000006</v>
      </c>
      <c r="AA36" s="423">
        <f t="shared" si="34"/>
        <v>46684.975000000006</v>
      </c>
      <c r="AB36" s="423">
        <f t="shared" si="34"/>
        <v>46684.975000000006</v>
      </c>
      <c r="AC36" s="423">
        <f t="shared" si="34"/>
        <v>46684.975000000006</v>
      </c>
      <c r="AD36" s="423">
        <f t="shared" si="34"/>
        <v>46684.975000000006</v>
      </c>
      <c r="AE36" s="423">
        <f t="shared" si="34"/>
        <v>46684.975000000006</v>
      </c>
      <c r="AF36" s="423">
        <f t="shared" si="34"/>
        <v>46684.975000000006</v>
      </c>
      <c r="AG36" s="423">
        <f t="shared" si="34"/>
        <v>46684.975000000006</v>
      </c>
      <c r="AH36" s="423">
        <f t="shared" si="34"/>
        <v>46684.975000000006</v>
      </c>
      <c r="AI36" s="423">
        <f t="shared" si="34"/>
        <v>46684.975000000006</v>
      </c>
      <c r="AJ36" s="423">
        <f t="shared" si="34"/>
        <v>46684.975000000006</v>
      </c>
      <c r="AK36" s="423">
        <f t="shared" si="34"/>
        <v>46684.975000000006</v>
      </c>
      <c r="AL36" s="423">
        <f t="shared" si="34"/>
        <v>46684.975000000006</v>
      </c>
      <c r="AM36" s="423">
        <f t="shared" si="34"/>
        <v>46684.975000000006</v>
      </c>
      <c r="AN36" s="423">
        <f t="shared" si="34"/>
        <v>46684.975000000006</v>
      </c>
      <c r="AO36" s="423">
        <f t="shared" si="34"/>
        <v>46684.975000000006</v>
      </c>
      <c r="AP36" s="423">
        <f t="shared" si="34"/>
        <v>46684.975000000006</v>
      </c>
      <c r="AQ36" s="423">
        <f t="shared" si="34"/>
        <v>46684.975000000006</v>
      </c>
      <c r="AR36" s="423">
        <f t="shared" si="34"/>
        <v>46684.975000000006</v>
      </c>
      <c r="AS36" s="423">
        <f t="shared" si="34"/>
        <v>46684.975000000006</v>
      </c>
      <c r="AT36" s="423">
        <f t="shared" si="34"/>
        <v>46684.975000000006</v>
      </c>
      <c r="AU36" s="424">
        <f t="shared" si="34"/>
        <v>46684.975000000006</v>
      </c>
      <c r="AV36" s="424">
        <f t="shared" si="34"/>
        <v>46684.975000000006</v>
      </c>
      <c r="AW36" s="424">
        <f t="shared" si="34"/>
        <v>46684.975000000006</v>
      </c>
      <c r="AX36" s="424">
        <f t="shared" si="34"/>
        <v>46684.975000000006</v>
      </c>
      <c r="AY36" s="424">
        <f t="shared" si="34"/>
        <v>46684.975000000006</v>
      </c>
      <c r="AZ36" s="424">
        <f t="shared" si="34"/>
        <v>46684.975000000006</v>
      </c>
      <c r="BA36" s="424">
        <f t="shared" si="34"/>
        <v>46684.975000000006</v>
      </c>
      <c r="BB36" s="424">
        <f t="shared" si="34"/>
        <v>46684.975000000006</v>
      </c>
      <c r="BC36" s="424">
        <f t="shared" si="34"/>
        <v>46684.975000000006</v>
      </c>
      <c r="BD36" s="424">
        <f t="shared" si="34"/>
        <v>46684.975000000006</v>
      </c>
      <c r="BE36" s="424">
        <f t="shared" si="34"/>
        <v>46684.975000000006</v>
      </c>
      <c r="BF36" s="424">
        <f t="shared" si="34"/>
        <v>46684.975000000006</v>
      </c>
      <c r="BG36" s="424">
        <f t="shared" si="34"/>
        <v>46684.975000000006</v>
      </c>
      <c r="BH36" s="424">
        <f t="shared" si="34"/>
        <v>46684.975000000006</v>
      </c>
      <c r="BI36" s="424">
        <f t="shared" si="34"/>
        <v>46684.975000000006</v>
      </c>
      <c r="BJ36" s="424">
        <f t="shared" si="34"/>
        <v>46684.975000000006</v>
      </c>
      <c r="BK36" s="424">
        <f t="shared" si="34"/>
        <v>46684.975000000006</v>
      </c>
      <c r="BL36" s="424">
        <f t="shared" si="34"/>
        <v>46684.975000000006</v>
      </c>
      <c r="BM36" s="424">
        <f t="shared" si="34"/>
        <v>46684.975000000006</v>
      </c>
      <c r="BN36" s="424">
        <f t="shared" si="34"/>
        <v>46684.975000000006</v>
      </c>
      <c r="BO36" s="424">
        <f t="shared" si="34"/>
        <v>46684.975000000006</v>
      </c>
      <c r="BP36" s="424">
        <f t="shared" si="34"/>
        <v>46684.975000000006</v>
      </c>
      <c r="BQ36" s="424">
        <f t="shared" si="34"/>
        <v>46684.975000000006</v>
      </c>
      <c r="BR36" s="424">
        <f t="shared" si="34"/>
        <v>46684.975000000006</v>
      </c>
      <c r="BS36" s="424">
        <f t="shared" ref="BS36:CL36" si="35">$D$36*BS16</f>
        <v>46684.975000000006</v>
      </c>
      <c r="BT36" s="424">
        <f t="shared" si="35"/>
        <v>46684.975000000006</v>
      </c>
      <c r="BU36" s="424">
        <f t="shared" si="35"/>
        <v>46684.975000000006</v>
      </c>
      <c r="BV36" s="424">
        <f t="shared" si="35"/>
        <v>46684.975000000006</v>
      </c>
      <c r="BW36" s="424">
        <f t="shared" si="35"/>
        <v>46684.975000000006</v>
      </c>
      <c r="BX36" s="424">
        <f t="shared" si="35"/>
        <v>46684.975000000006</v>
      </c>
      <c r="BY36" s="424">
        <f t="shared" si="35"/>
        <v>46684.975000000006</v>
      </c>
      <c r="BZ36" s="424">
        <f t="shared" si="35"/>
        <v>46684.975000000006</v>
      </c>
      <c r="CA36" s="424">
        <f t="shared" si="35"/>
        <v>46684.975000000006</v>
      </c>
      <c r="CB36" s="424">
        <f t="shared" si="35"/>
        <v>46684.975000000006</v>
      </c>
      <c r="CC36" s="424">
        <f t="shared" si="35"/>
        <v>46684.975000000006</v>
      </c>
      <c r="CD36" s="424">
        <f t="shared" si="35"/>
        <v>46684.975000000006</v>
      </c>
      <c r="CE36" s="424">
        <f t="shared" si="35"/>
        <v>46684.975000000006</v>
      </c>
      <c r="CF36" s="424">
        <f t="shared" si="35"/>
        <v>46684.975000000006</v>
      </c>
      <c r="CG36" s="424">
        <f t="shared" si="35"/>
        <v>46684.975000000006</v>
      </c>
      <c r="CH36" s="424">
        <f t="shared" si="35"/>
        <v>46684.975000000006</v>
      </c>
      <c r="CI36" s="424">
        <f t="shared" si="35"/>
        <v>46684.975000000006</v>
      </c>
      <c r="CJ36" s="424">
        <f t="shared" si="35"/>
        <v>46684.975000000006</v>
      </c>
      <c r="CK36" s="424">
        <f t="shared" si="35"/>
        <v>46684.975000000006</v>
      </c>
      <c r="CL36" s="422">
        <f t="shared" si="35"/>
        <v>46684.975000000006</v>
      </c>
      <c r="CM36" s="397">
        <f t="shared" si="15"/>
        <v>46684.975000000064</v>
      </c>
      <c r="CN36" s="429" t="s">
        <v>321</v>
      </c>
      <c r="CO36" s="430">
        <v>36.979805128205101</v>
      </c>
      <c r="CP36" s="430">
        <v>36.979805128205101</v>
      </c>
      <c r="CQ36" s="430">
        <v>36.979805128205101</v>
      </c>
      <c r="CR36" s="430">
        <v>36.979805128205101</v>
      </c>
      <c r="CS36" s="430">
        <v>36.979805128205101</v>
      </c>
      <c r="CT36" s="430">
        <v>36.979805128205101</v>
      </c>
      <c r="CU36" s="430">
        <v>36.979805128205101</v>
      </c>
      <c r="CV36" s="430">
        <v>36.979805128205101</v>
      </c>
      <c r="CW36" s="430">
        <v>37.756290598290597</v>
      </c>
      <c r="CX36" s="430">
        <v>36.979805128205101</v>
      </c>
      <c r="CY36" s="430">
        <v>37.756290598290597</v>
      </c>
      <c r="CZ36" s="430">
        <v>38.532776068376101</v>
      </c>
      <c r="DA36" s="430">
        <v>39.309261538461499</v>
      </c>
      <c r="DB36" s="430">
        <v>40.085747008547003</v>
      </c>
      <c r="DC36" s="430">
        <v>40.8622324786325</v>
      </c>
      <c r="DD36" s="430">
        <v>41.638717948718003</v>
      </c>
      <c r="DE36" s="430">
        <v>42.415203418803401</v>
      </c>
      <c r="DF36" s="430">
        <v>43.191688888888898</v>
      </c>
      <c r="DG36" s="430">
        <v>43.968174358974402</v>
      </c>
      <c r="DH36" s="430">
        <v>44.744659829059799</v>
      </c>
      <c r="DI36" s="430">
        <v>45.521145299145303</v>
      </c>
      <c r="DJ36" s="430">
        <v>46.2976307692308</v>
      </c>
      <c r="DK36" s="430">
        <v>47.074116239316197</v>
      </c>
      <c r="DL36" s="430">
        <v>47.850601709401701</v>
      </c>
      <c r="DM36" s="430">
        <v>48.627087179487198</v>
      </c>
      <c r="DN36" s="430">
        <v>49.403572649572702</v>
      </c>
      <c r="DO36" s="430">
        <v>50.180058119658099</v>
      </c>
      <c r="DP36" s="430">
        <v>50.956543589743603</v>
      </c>
      <c r="DQ36" s="430">
        <v>51.7330290598291</v>
      </c>
      <c r="DR36" s="430">
        <v>52.509514529914497</v>
      </c>
      <c r="DS36" s="430">
        <v>53.286000000000001</v>
      </c>
      <c r="DT36" s="430">
        <v>54.062485470085498</v>
      </c>
      <c r="DU36" s="430">
        <v>54.838970940170903</v>
      </c>
      <c r="DV36" s="430">
        <v>55.6154564102564</v>
      </c>
      <c r="DW36" s="430">
        <v>56.391941880341903</v>
      </c>
      <c r="DX36" s="430">
        <v>57.1684273504274</v>
      </c>
      <c r="DY36" s="430">
        <v>57.944912820512798</v>
      </c>
      <c r="DZ36" s="430">
        <v>58.721398290598302</v>
      </c>
      <c r="EA36" s="430">
        <v>59.497883760683798</v>
      </c>
      <c r="EB36" s="430">
        <v>60.274369230769203</v>
      </c>
      <c r="EC36" s="430">
        <v>56.1</v>
      </c>
      <c r="ED36" s="430">
        <v>57.6</v>
      </c>
      <c r="EE36" s="430">
        <v>55.7</v>
      </c>
      <c r="EF36" s="430">
        <v>59.95</v>
      </c>
      <c r="EG36" s="430">
        <v>68.569999999999993</v>
      </c>
      <c r="EH36" s="430">
        <v>79.7</v>
      </c>
      <c r="EI36" s="430">
        <v>85.01</v>
      </c>
      <c r="EJ36" s="430">
        <v>73.42</v>
      </c>
      <c r="EK36" s="430">
        <v>68.25</v>
      </c>
      <c r="EL36" s="430">
        <v>53.25</v>
      </c>
      <c r="EM36" s="430">
        <v>65.459999999999994</v>
      </c>
      <c r="EN36" s="430">
        <v>60.93</v>
      </c>
      <c r="EO36" s="430">
        <v>59.7</v>
      </c>
      <c r="EP36" s="430">
        <v>58.94</v>
      </c>
      <c r="EQ36" s="430">
        <v>57.95</v>
      </c>
      <c r="ER36" s="430">
        <v>78.48</v>
      </c>
      <c r="ES36" s="430">
        <v>82.51</v>
      </c>
      <c r="ET36" s="430">
        <v>83.6</v>
      </c>
      <c r="EU36" s="430">
        <v>102.15</v>
      </c>
      <c r="EV36" s="430">
        <v>74.58</v>
      </c>
      <c r="EW36" s="430">
        <v>78.45</v>
      </c>
      <c r="EX36" s="430">
        <v>76.87</v>
      </c>
      <c r="EY36" s="430">
        <v>82.39</v>
      </c>
      <c r="EZ36" s="430">
        <v>77.88</v>
      </c>
      <c r="FA36" s="430">
        <v>75.39</v>
      </c>
      <c r="FB36" s="430">
        <v>66.849999999999994</v>
      </c>
      <c r="FC36" s="430">
        <v>64.58</v>
      </c>
      <c r="FD36" s="430">
        <v>84.97</v>
      </c>
      <c r="FE36" s="430">
        <v>78.069999999999993</v>
      </c>
      <c r="FF36" s="430">
        <v>71.17</v>
      </c>
      <c r="FG36" s="430">
        <v>68.23</v>
      </c>
      <c r="FH36" s="430">
        <v>69.2</v>
      </c>
      <c r="FI36" s="430">
        <v>71.16</v>
      </c>
      <c r="FJ36" s="430">
        <v>82.9</v>
      </c>
      <c r="FK36" s="430">
        <v>88.88</v>
      </c>
      <c r="FL36" s="430">
        <v>80.14</v>
      </c>
      <c r="FM36" s="430">
        <v>89.43</v>
      </c>
      <c r="FN36" s="430">
        <v>102.78</v>
      </c>
      <c r="FO36" s="430">
        <v>102.25</v>
      </c>
      <c r="FP36" s="430">
        <v>100.32</v>
      </c>
      <c r="FQ36" s="430">
        <v>81.34</v>
      </c>
      <c r="FR36" s="430">
        <v>90.67</v>
      </c>
      <c r="FS36" s="430">
        <v>91.86</v>
      </c>
      <c r="FT36" s="430">
        <v>95.99</v>
      </c>
      <c r="FU36" s="430">
        <v>94.95</v>
      </c>
      <c r="FV36" s="271">
        <f t="shared" si="31"/>
        <v>76.634888888888895</v>
      </c>
      <c r="FW36" s="312"/>
    </row>
    <row r="37" spans="1:179" ht="26.25" customHeight="1">
      <c r="A37" s="1074"/>
      <c r="B37" s="398" t="s">
        <v>307</v>
      </c>
      <c r="C37" s="399" t="s">
        <v>322</v>
      </c>
      <c r="D37" s="399">
        <v>0.14000000000000001</v>
      </c>
      <c r="E37" s="1066"/>
      <c r="F37" s="422" t="s">
        <v>131</v>
      </c>
      <c r="G37" s="423">
        <f t="shared" ref="G37:BR37" si="36">$D$37*G16</f>
        <v>12815.483333333335</v>
      </c>
      <c r="H37" s="423">
        <f t="shared" si="36"/>
        <v>12815.483333333335</v>
      </c>
      <c r="I37" s="423">
        <f t="shared" si="36"/>
        <v>12815.483333333335</v>
      </c>
      <c r="J37" s="423">
        <f t="shared" si="36"/>
        <v>12815.483333333335</v>
      </c>
      <c r="K37" s="423">
        <f t="shared" si="36"/>
        <v>12815.483333333335</v>
      </c>
      <c r="L37" s="423">
        <f t="shared" si="36"/>
        <v>12815.483333333335</v>
      </c>
      <c r="M37" s="423">
        <f t="shared" si="36"/>
        <v>12815.483333333335</v>
      </c>
      <c r="N37" s="423">
        <f t="shared" si="36"/>
        <v>12815.483333333335</v>
      </c>
      <c r="O37" s="423">
        <f t="shared" si="36"/>
        <v>12815.483333333335</v>
      </c>
      <c r="P37" s="423">
        <f t="shared" si="36"/>
        <v>12815.483333333335</v>
      </c>
      <c r="Q37" s="423">
        <f t="shared" si="36"/>
        <v>12815.483333333335</v>
      </c>
      <c r="R37" s="423">
        <f t="shared" si="36"/>
        <v>12815.483333333335</v>
      </c>
      <c r="S37" s="423">
        <f t="shared" si="36"/>
        <v>12815.483333333335</v>
      </c>
      <c r="T37" s="423">
        <f t="shared" si="36"/>
        <v>12815.483333333335</v>
      </c>
      <c r="U37" s="423">
        <f t="shared" si="36"/>
        <v>12815.483333333335</v>
      </c>
      <c r="V37" s="423">
        <f t="shared" si="36"/>
        <v>12815.483333333335</v>
      </c>
      <c r="W37" s="423">
        <f t="shared" si="36"/>
        <v>12815.483333333335</v>
      </c>
      <c r="X37" s="423">
        <f t="shared" si="36"/>
        <v>12815.483333333335</v>
      </c>
      <c r="Y37" s="423">
        <f t="shared" si="36"/>
        <v>12815.483333333335</v>
      </c>
      <c r="Z37" s="423">
        <f t="shared" si="36"/>
        <v>12815.483333333335</v>
      </c>
      <c r="AA37" s="423">
        <f t="shared" si="36"/>
        <v>12815.483333333335</v>
      </c>
      <c r="AB37" s="423">
        <f t="shared" si="36"/>
        <v>12815.483333333335</v>
      </c>
      <c r="AC37" s="423">
        <f t="shared" si="36"/>
        <v>12815.483333333335</v>
      </c>
      <c r="AD37" s="423">
        <f t="shared" si="36"/>
        <v>12815.483333333335</v>
      </c>
      <c r="AE37" s="423">
        <f t="shared" si="36"/>
        <v>12815.483333333335</v>
      </c>
      <c r="AF37" s="423">
        <f t="shared" si="36"/>
        <v>12815.483333333335</v>
      </c>
      <c r="AG37" s="423">
        <f t="shared" si="36"/>
        <v>12815.483333333335</v>
      </c>
      <c r="AH37" s="423">
        <f t="shared" si="36"/>
        <v>12815.483333333335</v>
      </c>
      <c r="AI37" s="423">
        <f t="shared" si="36"/>
        <v>12815.483333333335</v>
      </c>
      <c r="AJ37" s="423">
        <f t="shared" si="36"/>
        <v>12815.483333333335</v>
      </c>
      <c r="AK37" s="423">
        <f t="shared" si="36"/>
        <v>12815.483333333335</v>
      </c>
      <c r="AL37" s="423">
        <f t="shared" si="36"/>
        <v>12815.483333333335</v>
      </c>
      <c r="AM37" s="423">
        <f t="shared" si="36"/>
        <v>12815.483333333335</v>
      </c>
      <c r="AN37" s="423">
        <f t="shared" si="36"/>
        <v>12815.483333333335</v>
      </c>
      <c r="AO37" s="423">
        <f t="shared" si="36"/>
        <v>12815.483333333335</v>
      </c>
      <c r="AP37" s="423">
        <f t="shared" si="36"/>
        <v>12815.483333333335</v>
      </c>
      <c r="AQ37" s="423">
        <f t="shared" si="36"/>
        <v>12815.483333333335</v>
      </c>
      <c r="AR37" s="423">
        <f t="shared" si="36"/>
        <v>12815.483333333335</v>
      </c>
      <c r="AS37" s="423">
        <f t="shared" si="36"/>
        <v>12815.483333333335</v>
      </c>
      <c r="AT37" s="423">
        <f t="shared" si="36"/>
        <v>12815.483333333335</v>
      </c>
      <c r="AU37" s="424">
        <f t="shared" si="36"/>
        <v>12815.483333333335</v>
      </c>
      <c r="AV37" s="424">
        <f t="shared" si="36"/>
        <v>12815.483333333335</v>
      </c>
      <c r="AW37" s="424">
        <f t="shared" si="36"/>
        <v>12815.483333333335</v>
      </c>
      <c r="AX37" s="424">
        <f t="shared" si="36"/>
        <v>12815.483333333335</v>
      </c>
      <c r="AY37" s="424">
        <f t="shared" si="36"/>
        <v>12815.483333333335</v>
      </c>
      <c r="AZ37" s="424">
        <f t="shared" si="36"/>
        <v>12815.483333333335</v>
      </c>
      <c r="BA37" s="424">
        <f t="shared" si="36"/>
        <v>12815.483333333335</v>
      </c>
      <c r="BB37" s="424">
        <f t="shared" si="36"/>
        <v>12815.483333333335</v>
      </c>
      <c r="BC37" s="424">
        <f t="shared" si="36"/>
        <v>12815.483333333335</v>
      </c>
      <c r="BD37" s="424">
        <f t="shared" si="36"/>
        <v>12815.483333333335</v>
      </c>
      <c r="BE37" s="424">
        <f t="shared" si="36"/>
        <v>12815.483333333335</v>
      </c>
      <c r="BF37" s="424">
        <f t="shared" si="36"/>
        <v>12815.483333333335</v>
      </c>
      <c r="BG37" s="424">
        <f t="shared" si="36"/>
        <v>12815.483333333335</v>
      </c>
      <c r="BH37" s="424">
        <f t="shared" si="36"/>
        <v>12815.483333333335</v>
      </c>
      <c r="BI37" s="424">
        <f t="shared" si="36"/>
        <v>12815.483333333335</v>
      </c>
      <c r="BJ37" s="424">
        <f t="shared" si="36"/>
        <v>12815.483333333335</v>
      </c>
      <c r="BK37" s="424">
        <f t="shared" si="36"/>
        <v>12815.483333333335</v>
      </c>
      <c r="BL37" s="424">
        <f t="shared" si="36"/>
        <v>12815.483333333335</v>
      </c>
      <c r="BM37" s="424">
        <f t="shared" si="36"/>
        <v>12815.483333333335</v>
      </c>
      <c r="BN37" s="424">
        <f t="shared" si="36"/>
        <v>12815.483333333335</v>
      </c>
      <c r="BO37" s="424">
        <f t="shared" si="36"/>
        <v>12815.483333333335</v>
      </c>
      <c r="BP37" s="424">
        <f t="shared" si="36"/>
        <v>12815.483333333335</v>
      </c>
      <c r="BQ37" s="424">
        <f t="shared" si="36"/>
        <v>12815.483333333335</v>
      </c>
      <c r="BR37" s="424">
        <f t="shared" si="36"/>
        <v>12815.483333333335</v>
      </c>
      <c r="BS37" s="424">
        <f t="shared" ref="BS37:CL37" si="37">$D$37*BS16</f>
        <v>12815.483333333335</v>
      </c>
      <c r="BT37" s="424">
        <f t="shared" si="37"/>
        <v>12815.483333333335</v>
      </c>
      <c r="BU37" s="424">
        <f t="shared" si="37"/>
        <v>12815.483333333335</v>
      </c>
      <c r="BV37" s="424">
        <f t="shared" si="37"/>
        <v>12815.483333333335</v>
      </c>
      <c r="BW37" s="424">
        <f t="shared" si="37"/>
        <v>12815.483333333335</v>
      </c>
      <c r="BX37" s="424">
        <f t="shared" si="37"/>
        <v>12815.483333333335</v>
      </c>
      <c r="BY37" s="424">
        <f t="shared" si="37"/>
        <v>12815.483333333335</v>
      </c>
      <c r="BZ37" s="424">
        <f t="shared" si="37"/>
        <v>12815.483333333335</v>
      </c>
      <c r="CA37" s="424">
        <f t="shared" si="37"/>
        <v>12815.483333333335</v>
      </c>
      <c r="CB37" s="424">
        <f t="shared" si="37"/>
        <v>12815.483333333335</v>
      </c>
      <c r="CC37" s="424">
        <f t="shared" si="37"/>
        <v>12815.483333333335</v>
      </c>
      <c r="CD37" s="424">
        <f t="shared" si="37"/>
        <v>12815.483333333335</v>
      </c>
      <c r="CE37" s="424">
        <f t="shared" si="37"/>
        <v>12815.483333333335</v>
      </c>
      <c r="CF37" s="424">
        <f t="shared" si="37"/>
        <v>12815.483333333335</v>
      </c>
      <c r="CG37" s="424">
        <f t="shared" si="37"/>
        <v>12815.483333333335</v>
      </c>
      <c r="CH37" s="424">
        <f t="shared" si="37"/>
        <v>12815.483333333335</v>
      </c>
      <c r="CI37" s="424">
        <f t="shared" si="37"/>
        <v>12815.483333333335</v>
      </c>
      <c r="CJ37" s="424">
        <f t="shared" si="37"/>
        <v>12815.483333333335</v>
      </c>
      <c r="CK37" s="424">
        <f t="shared" si="37"/>
        <v>12815.483333333335</v>
      </c>
      <c r="CL37" s="422">
        <f t="shared" si="37"/>
        <v>12815.483333333335</v>
      </c>
      <c r="CM37" s="397">
        <f t="shared" si="15"/>
        <v>12815.48333333331</v>
      </c>
      <c r="CN37" s="429" t="s">
        <v>180</v>
      </c>
      <c r="CO37" s="430">
        <v>3.25</v>
      </c>
      <c r="CP37" s="430">
        <v>3.25</v>
      </c>
      <c r="CQ37" s="430">
        <v>3.25</v>
      </c>
      <c r="CR37" s="430">
        <v>3.25</v>
      </c>
      <c r="CS37" s="430">
        <v>3.25</v>
      </c>
      <c r="CT37" s="430">
        <v>3.5</v>
      </c>
      <c r="CU37" s="430">
        <v>3.5</v>
      </c>
      <c r="CV37" s="430">
        <v>3.5</v>
      </c>
      <c r="CW37" s="430">
        <v>3.5</v>
      </c>
      <c r="CX37" s="430">
        <v>3.5</v>
      </c>
      <c r="CY37" s="430">
        <v>3.5</v>
      </c>
      <c r="CZ37" s="430">
        <v>3.5</v>
      </c>
      <c r="DA37" s="430">
        <v>3.5</v>
      </c>
      <c r="DB37" s="430">
        <v>3.5</v>
      </c>
      <c r="DC37" s="430">
        <v>3.5</v>
      </c>
      <c r="DD37" s="430">
        <v>3.5</v>
      </c>
      <c r="DE37" s="430">
        <v>3.5574974358974401</v>
      </c>
      <c r="DF37" s="430">
        <v>3.5365333333333302</v>
      </c>
      <c r="DG37" s="430">
        <v>3.5155692307692301</v>
      </c>
      <c r="DH37" s="430">
        <v>3.49460512820513</v>
      </c>
      <c r="DI37" s="430">
        <v>3.4736410256410299</v>
      </c>
      <c r="DJ37" s="430">
        <v>3.4526769230769201</v>
      </c>
      <c r="DK37" s="430">
        <v>3.43171282051282</v>
      </c>
      <c r="DL37" s="430">
        <v>3.4107487179487199</v>
      </c>
      <c r="DM37" s="430">
        <v>3.3897846153846101</v>
      </c>
      <c r="DN37" s="430">
        <v>3.36882051282051</v>
      </c>
      <c r="DO37" s="430">
        <v>3.3478564102564099</v>
      </c>
      <c r="DP37" s="430">
        <v>3.3268923076923098</v>
      </c>
      <c r="DQ37" s="430">
        <v>3.3059282051282</v>
      </c>
      <c r="DR37" s="430">
        <v>3.2849641025640999</v>
      </c>
      <c r="DS37" s="430">
        <v>3.2639999999999998</v>
      </c>
      <c r="DT37" s="430">
        <v>3.2430358974359002</v>
      </c>
      <c r="DU37" s="430">
        <v>3.2220717948717899</v>
      </c>
      <c r="DV37" s="430">
        <v>3.2011076923076902</v>
      </c>
      <c r="DW37" s="430">
        <v>3.1801435897435901</v>
      </c>
      <c r="DX37" s="430">
        <v>3.15917948717949</v>
      </c>
      <c r="DY37" s="430">
        <v>3.1382153846153802</v>
      </c>
      <c r="DZ37" s="430">
        <v>3.1172512820512801</v>
      </c>
      <c r="EA37" s="430">
        <v>3.09628717948718</v>
      </c>
      <c r="EB37" s="430">
        <v>3.0753230769230799</v>
      </c>
      <c r="EC37" s="430">
        <v>2.19</v>
      </c>
      <c r="ED37" s="430">
        <v>3.16</v>
      </c>
      <c r="EE37" s="430">
        <v>3.15</v>
      </c>
      <c r="EF37" s="430">
        <v>2.71</v>
      </c>
      <c r="EG37" s="430">
        <v>2.67</v>
      </c>
      <c r="EH37" s="430">
        <v>2.98</v>
      </c>
      <c r="EI37" s="430">
        <v>3.6</v>
      </c>
      <c r="EJ37" s="430">
        <v>3.3</v>
      </c>
      <c r="EK37" s="430">
        <v>3.19</v>
      </c>
      <c r="EL37" s="430">
        <v>3.54</v>
      </c>
      <c r="EM37" s="430">
        <v>3.04</v>
      </c>
      <c r="EN37" s="430">
        <v>2.95</v>
      </c>
      <c r="EO37" s="430">
        <v>2.5499999999999998</v>
      </c>
      <c r="EP37" s="430">
        <v>3.17</v>
      </c>
      <c r="EQ37" s="430">
        <v>2.7</v>
      </c>
      <c r="ER37" s="430">
        <v>2.14</v>
      </c>
      <c r="ES37" s="430">
        <v>2.11</v>
      </c>
      <c r="ET37" s="430">
        <v>2.31</v>
      </c>
      <c r="EU37" s="430">
        <v>2.5499999999999998</v>
      </c>
      <c r="EV37" s="430">
        <v>2.8</v>
      </c>
      <c r="EW37" s="430">
        <v>2.42</v>
      </c>
      <c r="EX37" s="430">
        <v>2.8</v>
      </c>
      <c r="EY37" s="430">
        <v>2.73</v>
      </c>
      <c r="EZ37" s="430">
        <v>2.99</v>
      </c>
      <c r="FA37" s="430">
        <v>2.38</v>
      </c>
      <c r="FB37" s="430">
        <v>2.4700000000000002</v>
      </c>
      <c r="FC37" s="430">
        <v>1.66</v>
      </c>
      <c r="FD37" s="430">
        <v>2.34</v>
      </c>
      <c r="FE37" s="430">
        <v>2.73</v>
      </c>
      <c r="FF37" s="430">
        <v>1.44</v>
      </c>
      <c r="FG37" s="430">
        <v>1.22</v>
      </c>
      <c r="FH37" s="430">
        <v>1.58</v>
      </c>
      <c r="FI37" s="430">
        <v>2.04</v>
      </c>
      <c r="FJ37" s="430">
        <v>2.15</v>
      </c>
      <c r="FK37" s="430">
        <v>2.37</v>
      </c>
      <c r="FL37" s="430">
        <v>2.61</v>
      </c>
      <c r="FM37" s="430">
        <v>2.96</v>
      </c>
      <c r="FN37" s="430">
        <v>3.52</v>
      </c>
      <c r="FO37" s="430">
        <v>3.35</v>
      </c>
      <c r="FP37" s="430">
        <v>2.69</v>
      </c>
      <c r="FQ37" s="430">
        <v>2.57</v>
      </c>
      <c r="FR37" s="430">
        <v>2.83</v>
      </c>
      <c r="FS37" s="430">
        <v>3.48</v>
      </c>
      <c r="FT37" s="430">
        <v>3.56</v>
      </c>
      <c r="FU37" s="430">
        <v>3.74</v>
      </c>
      <c r="FV37" s="271">
        <f t="shared" si="31"/>
        <v>2.6986666666666661</v>
      </c>
      <c r="FW37" s="312"/>
    </row>
    <row r="38" spans="1:179">
      <c r="A38" s="1074"/>
      <c r="B38" s="398" t="s">
        <v>307</v>
      </c>
      <c r="C38" s="399" t="s">
        <v>323</v>
      </c>
      <c r="D38" s="399">
        <v>15.58</v>
      </c>
      <c r="E38" s="1066"/>
      <c r="F38" s="422" t="s">
        <v>130</v>
      </c>
      <c r="G38" s="423">
        <f t="shared" ref="G38:BR38" si="38">$D$38*G16</f>
        <v>1426180.2166666668</v>
      </c>
      <c r="H38" s="423">
        <f t="shared" si="38"/>
        <v>1426180.2166666668</v>
      </c>
      <c r="I38" s="423">
        <f t="shared" si="38"/>
        <v>1426180.2166666668</v>
      </c>
      <c r="J38" s="423">
        <f t="shared" si="38"/>
        <v>1426180.2166666668</v>
      </c>
      <c r="K38" s="423">
        <f t="shared" si="38"/>
        <v>1426180.2166666668</v>
      </c>
      <c r="L38" s="423">
        <f t="shared" si="38"/>
        <v>1426180.2166666668</v>
      </c>
      <c r="M38" s="423">
        <f t="shared" si="38"/>
        <v>1426180.2166666668</v>
      </c>
      <c r="N38" s="423">
        <f t="shared" si="38"/>
        <v>1426180.2166666668</v>
      </c>
      <c r="O38" s="423">
        <f t="shared" si="38"/>
        <v>1426180.2166666668</v>
      </c>
      <c r="P38" s="423">
        <f t="shared" si="38"/>
        <v>1426180.2166666668</v>
      </c>
      <c r="Q38" s="423">
        <f t="shared" si="38"/>
        <v>1426180.2166666668</v>
      </c>
      <c r="R38" s="423">
        <f t="shared" si="38"/>
        <v>1426180.2166666668</v>
      </c>
      <c r="S38" s="423">
        <f t="shared" si="38"/>
        <v>1426180.2166666668</v>
      </c>
      <c r="T38" s="423">
        <f t="shared" si="38"/>
        <v>1426180.2166666668</v>
      </c>
      <c r="U38" s="423">
        <f t="shared" si="38"/>
        <v>1426180.2166666668</v>
      </c>
      <c r="V38" s="423">
        <f t="shared" si="38"/>
        <v>1426180.2166666668</v>
      </c>
      <c r="W38" s="423">
        <f t="shared" si="38"/>
        <v>1426180.2166666668</v>
      </c>
      <c r="X38" s="423">
        <f t="shared" si="38"/>
        <v>1426180.2166666668</v>
      </c>
      <c r="Y38" s="423">
        <f t="shared" si="38"/>
        <v>1426180.2166666668</v>
      </c>
      <c r="Z38" s="423">
        <f t="shared" si="38"/>
        <v>1426180.2166666668</v>
      </c>
      <c r="AA38" s="423">
        <f t="shared" si="38"/>
        <v>1426180.2166666668</v>
      </c>
      <c r="AB38" s="423">
        <f t="shared" si="38"/>
        <v>1426180.2166666668</v>
      </c>
      <c r="AC38" s="423">
        <f t="shared" si="38"/>
        <v>1426180.2166666668</v>
      </c>
      <c r="AD38" s="423">
        <f t="shared" si="38"/>
        <v>1426180.2166666668</v>
      </c>
      <c r="AE38" s="423">
        <f t="shared" si="38"/>
        <v>1426180.2166666668</v>
      </c>
      <c r="AF38" s="423">
        <f t="shared" si="38"/>
        <v>1426180.2166666668</v>
      </c>
      <c r="AG38" s="423">
        <f t="shared" si="38"/>
        <v>1426180.2166666668</v>
      </c>
      <c r="AH38" s="423">
        <f t="shared" si="38"/>
        <v>1426180.2166666668</v>
      </c>
      <c r="AI38" s="423">
        <f t="shared" si="38"/>
        <v>1426180.2166666668</v>
      </c>
      <c r="AJ38" s="423">
        <f t="shared" si="38"/>
        <v>1426180.2166666668</v>
      </c>
      <c r="AK38" s="423">
        <f t="shared" si="38"/>
        <v>1426180.2166666668</v>
      </c>
      <c r="AL38" s="423">
        <f t="shared" si="38"/>
        <v>1426180.2166666668</v>
      </c>
      <c r="AM38" s="423">
        <f t="shared" si="38"/>
        <v>1426180.2166666668</v>
      </c>
      <c r="AN38" s="423">
        <f t="shared" si="38"/>
        <v>1426180.2166666668</v>
      </c>
      <c r="AO38" s="423">
        <f t="shared" si="38"/>
        <v>1426180.2166666668</v>
      </c>
      <c r="AP38" s="423">
        <f t="shared" si="38"/>
        <v>1426180.2166666668</v>
      </c>
      <c r="AQ38" s="423">
        <f t="shared" si="38"/>
        <v>1426180.2166666668</v>
      </c>
      <c r="AR38" s="423">
        <f t="shared" si="38"/>
        <v>1426180.2166666668</v>
      </c>
      <c r="AS38" s="423">
        <f t="shared" si="38"/>
        <v>1426180.2166666668</v>
      </c>
      <c r="AT38" s="423">
        <f t="shared" si="38"/>
        <v>1426180.2166666668</v>
      </c>
      <c r="AU38" s="424">
        <f t="shared" si="38"/>
        <v>1426180.2166666668</v>
      </c>
      <c r="AV38" s="424">
        <f t="shared" si="38"/>
        <v>1426180.2166666668</v>
      </c>
      <c r="AW38" s="424">
        <f t="shared" si="38"/>
        <v>1426180.2166666668</v>
      </c>
      <c r="AX38" s="424">
        <f t="shared" si="38"/>
        <v>1426180.2166666668</v>
      </c>
      <c r="AY38" s="424">
        <f t="shared" si="38"/>
        <v>1426180.2166666668</v>
      </c>
      <c r="AZ38" s="424">
        <f t="shared" si="38"/>
        <v>1426180.2166666668</v>
      </c>
      <c r="BA38" s="424">
        <f t="shared" si="38"/>
        <v>1426180.2166666668</v>
      </c>
      <c r="BB38" s="424">
        <f t="shared" si="38"/>
        <v>1426180.2166666668</v>
      </c>
      <c r="BC38" s="424">
        <f t="shared" si="38"/>
        <v>1426180.2166666668</v>
      </c>
      <c r="BD38" s="424">
        <f t="shared" si="38"/>
        <v>1426180.2166666668</v>
      </c>
      <c r="BE38" s="424">
        <f t="shared" si="38"/>
        <v>1426180.2166666668</v>
      </c>
      <c r="BF38" s="424">
        <f t="shared" si="38"/>
        <v>1426180.2166666668</v>
      </c>
      <c r="BG38" s="424">
        <f t="shared" si="38"/>
        <v>1426180.2166666668</v>
      </c>
      <c r="BH38" s="424">
        <f t="shared" si="38"/>
        <v>1426180.2166666668</v>
      </c>
      <c r="BI38" s="424">
        <f t="shared" si="38"/>
        <v>1426180.2166666668</v>
      </c>
      <c r="BJ38" s="424">
        <f t="shared" si="38"/>
        <v>1426180.2166666668</v>
      </c>
      <c r="BK38" s="424">
        <f t="shared" si="38"/>
        <v>1426180.2166666668</v>
      </c>
      <c r="BL38" s="424">
        <f t="shared" si="38"/>
        <v>1426180.2166666668</v>
      </c>
      <c r="BM38" s="424">
        <f t="shared" si="38"/>
        <v>1426180.2166666668</v>
      </c>
      <c r="BN38" s="424">
        <f t="shared" si="38"/>
        <v>1426180.2166666668</v>
      </c>
      <c r="BO38" s="424">
        <f t="shared" si="38"/>
        <v>1426180.2166666668</v>
      </c>
      <c r="BP38" s="424">
        <f t="shared" si="38"/>
        <v>1426180.2166666668</v>
      </c>
      <c r="BQ38" s="424">
        <f t="shared" si="38"/>
        <v>1426180.2166666668</v>
      </c>
      <c r="BR38" s="424">
        <f t="shared" si="38"/>
        <v>1426180.2166666668</v>
      </c>
      <c r="BS38" s="424">
        <f t="shared" ref="BS38:CL38" si="39">$D$38*BS16</f>
        <v>1426180.2166666668</v>
      </c>
      <c r="BT38" s="424">
        <f t="shared" si="39"/>
        <v>1426180.2166666668</v>
      </c>
      <c r="BU38" s="424">
        <f t="shared" si="39"/>
        <v>1426180.2166666668</v>
      </c>
      <c r="BV38" s="424">
        <f t="shared" si="39"/>
        <v>1426180.2166666668</v>
      </c>
      <c r="BW38" s="424">
        <f t="shared" si="39"/>
        <v>1426180.2166666668</v>
      </c>
      <c r="BX38" s="424">
        <f t="shared" si="39"/>
        <v>1426180.2166666668</v>
      </c>
      <c r="BY38" s="424">
        <f t="shared" si="39"/>
        <v>1426180.2166666668</v>
      </c>
      <c r="BZ38" s="424">
        <f t="shared" si="39"/>
        <v>1426180.2166666668</v>
      </c>
      <c r="CA38" s="424">
        <f t="shared" si="39"/>
        <v>1426180.2166666668</v>
      </c>
      <c r="CB38" s="424">
        <f t="shared" si="39"/>
        <v>1426180.2166666668</v>
      </c>
      <c r="CC38" s="424">
        <f t="shared" si="39"/>
        <v>1426180.2166666668</v>
      </c>
      <c r="CD38" s="424">
        <f t="shared" si="39"/>
        <v>1426180.2166666668</v>
      </c>
      <c r="CE38" s="424">
        <f t="shared" si="39"/>
        <v>1426180.2166666668</v>
      </c>
      <c r="CF38" s="424">
        <f t="shared" si="39"/>
        <v>1426180.2166666668</v>
      </c>
      <c r="CG38" s="424">
        <f t="shared" si="39"/>
        <v>1426180.2166666668</v>
      </c>
      <c r="CH38" s="424">
        <f t="shared" si="39"/>
        <v>1426180.2166666668</v>
      </c>
      <c r="CI38" s="424">
        <f t="shared" si="39"/>
        <v>1426180.2166666668</v>
      </c>
      <c r="CJ38" s="424">
        <f t="shared" si="39"/>
        <v>1426180.2166666668</v>
      </c>
      <c r="CK38" s="424">
        <f t="shared" si="39"/>
        <v>1426180.2166666668</v>
      </c>
      <c r="CL38" s="422">
        <f t="shared" si="39"/>
        <v>1426180.2166666668</v>
      </c>
      <c r="CM38" s="397">
        <f t="shared" si="15"/>
        <v>1426180.2166666682</v>
      </c>
      <c r="CN38" s="431" t="s">
        <v>219</v>
      </c>
      <c r="CO38" s="432">
        <v>3</v>
      </c>
      <c r="CP38" s="432">
        <v>3</v>
      </c>
      <c r="CQ38" s="432">
        <v>3</v>
      </c>
      <c r="CR38" s="432">
        <v>3</v>
      </c>
      <c r="CS38" s="432">
        <v>3</v>
      </c>
      <c r="CT38" s="432">
        <v>3</v>
      </c>
      <c r="CU38" s="432">
        <v>3</v>
      </c>
      <c r="CV38" s="432">
        <v>3</v>
      </c>
      <c r="CW38" s="432">
        <v>3</v>
      </c>
      <c r="CX38" s="432">
        <v>3</v>
      </c>
      <c r="CY38" s="432">
        <v>3</v>
      </c>
      <c r="CZ38" s="432">
        <v>3</v>
      </c>
      <c r="DA38" s="432">
        <v>3</v>
      </c>
      <c r="DB38" s="432">
        <v>3</v>
      </c>
      <c r="DC38" s="432">
        <v>3</v>
      </c>
      <c r="DD38" s="432">
        <v>3</v>
      </c>
      <c r="DE38" s="432">
        <v>3</v>
      </c>
      <c r="DF38" s="432">
        <v>3</v>
      </c>
      <c r="DG38" s="432">
        <v>3</v>
      </c>
      <c r="DH38" s="432">
        <v>3</v>
      </c>
      <c r="DI38" s="432">
        <v>3</v>
      </c>
      <c r="DJ38" s="432">
        <v>3</v>
      </c>
      <c r="DK38" s="432">
        <v>3</v>
      </c>
      <c r="DL38" s="432">
        <v>3</v>
      </c>
      <c r="DM38" s="432">
        <v>3</v>
      </c>
      <c r="DN38" s="432">
        <v>3</v>
      </c>
      <c r="DO38" s="432">
        <v>3</v>
      </c>
      <c r="DP38" s="432">
        <v>3</v>
      </c>
      <c r="DQ38" s="432">
        <v>3</v>
      </c>
      <c r="DR38" s="432">
        <v>3</v>
      </c>
      <c r="DS38" s="432">
        <v>3</v>
      </c>
      <c r="DT38" s="432">
        <v>3</v>
      </c>
      <c r="DU38" s="432">
        <v>3</v>
      </c>
      <c r="DV38" s="432">
        <v>3</v>
      </c>
      <c r="DW38" s="432">
        <v>3</v>
      </c>
      <c r="DX38" s="432">
        <v>3</v>
      </c>
      <c r="DY38" s="432">
        <v>3</v>
      </c>
      <c r="DZ38" s="432">
        <v>3</v>
      </c>
      <c r="EA38" s="432">
        <v>3</v>
      </c>
      <c r="EB38" s="432">
        <v>3</v>
      </c>
      <c r="EC38" s="432">
        <v>3</v>
      </c>
      <c r="ED38" s="432">
        <v>3</v>
      </c>
      <c r="EE38" s="432">
        <v>3</v>
      </c>
      <c r="EF38" s="432">
        <v>3</v>
      </c>
      <c r="EG38" s="432">
        <v>3</v>
      </c>
      <c r="EH38" s="432">
        <v>3</v>
      </c>
      <c r="EI38" s="432">
        <v>3</v>
      </c>
      <c r="EJ38" s="432">
        <v>3</v>
      </c>
      <c r="EK38" s="432">
        <v>3</v>
      </c>
      <c r="EL38" s="432">
        <v>3</v>
      </c>
      <c r="EM38" s="432">
        <v>3</v>
      </c>
      <c r="EN38" s="432">
        <v>3</v>
      </c>
      <c r="EO38" s="432">
        <v>3</v>
      </c>
      <c r="EP38" s="432">
        <v>3</v>
      </c>
      <c r="EQ38" s="432">
        <v>3</v>
      </c>
      <c r="ER38" s="432">
        <v>3</v>
      </c>
      <c r="ES38" s="432">
        <v>3</v>
      </c>
      <c r="ET38" s="432">
        <v>3</v>
      </c>
      <c r="EU38" s="432">
        <v>3</v>
      </c>
      <c r="EV38" s="432">
        <v>3</v>
      </c>
      <c r="EW38" s="432">
        <v>3</v>
      </c>
      <c r="EX38" s="432">
        <v>3</v>
      </c>
      <c r="EY38" s="432">
        <v>3</v>
      </c>
      <c r="EZ38" s="432">
        <v>3</v>
      </c>
      <c r="FA38" s="432">
        <v>3</v>
      </c>
      <c r="FB38" s="432">
        <v>3</v>
      </c>
      <c r="FC38" s="432">
        <v>3</v>
      </c>
      <c r="FD38" s="432">
        <v>3</v>
      </c>
      <c r="FE38" s="432">
        <v>3</v>
      </c>
      <c r="FF38" s="432">
        <v>3</v>
      </c>
      <c r="FG38" s="432">
        <v>3</v>
      </c>
      <c r="FH38" s="432">
        <v>3</v>
      </c>
      <c r="FI38" s="432">
        <v>3</v>
      </c>
      <c r="FJ38" s="432">
        <v>3</v>
      </c>
      <c r="FK38" s="432">
        <v>3</v>
      </c>
      <c r="FL38" s="432">
        <v>3</v>
      </c>
      <c r="FM38" s="432">
        <v>3</v>
      </c>
      <c r="FN38" s="432">
        <v>3</v>
      </c>
      <c r="FO38" s="432">
        <v>3</v>
      </c>
      <c r="FP38" s="432">
        <v>3</v>
      </c>
      <c r="FQ38" s="432">
        <v>3</v>
      </c>
      <c r="FR38" s="432">
        <v>3</v>
      </c>
      <c r="FS38" s="432">
        <v>3</v>
      </c>
      <c r="FT38" s="432">
        <v>3</v>
      </c>
      <c r="FU38" s="432">
        <v>3</v>
      </c>
      <c r="FV38" s="271">
        <f t="shared" si="31"/>
        <v>3</v>
      </c>
      <c r="FW38" s="312"/>
    </row>
    <row r="39" spans="1:179">
      <c r="A39" s="1074"/>
      <c r="B39" s="398" t="s">
        <v>307</v>
      </c>
      <c r="C39" s="399" t="s">
        <v>323</v>
      </c>
      <c r="D39" s="399">
        <v>16.829999999999998</v>
      </c>
      <c r="E39" s="1066"/>
      <c r="F39" s="422" t="s">
        <v>324</v>
      </c>
      <c r="G39" s="423">
        <f t="shared" ref="G39:BR39" si="40">16.8349994240702*G16</f>
        <v>1541061.8181131997</v>
      </c>
      <c r="H39" s="423">
        <f t="shared" si="40"/>
        <v>1541061.8181131997</v>
      </c>
      <c r="I39" s="423">
        <f t="shared" si="40"/>
        <v>1541061.8181131997</v>
      </c>
      <c r="J39" s="423">
        <f t="shared" si="40"/>
        <v>1541061.8181131997</v>
      </c>
      <c r="K39" s="423">
        <f t="shared" si="40"/>
        <v>1541061.8181131997</v>
      </c>
      <c r="L39" s="423">
        <f t="shared" si="40"/>
        <v>1541061.8181131997</v>
      </c>
      <c r="M39" s="423">
        <f t="shared" si="40"/>
        <v>1541061.8181131997</v>
      </c>
      <c r="N39" s="423">
        <f t="shared" si="40"/>
        <v>1541061.8181131997</v>
      </c>
      <c r="O39" s="423">
        <f t="shared" si="40"/>
        <v>1541061.8181131997</v>
      </c>
      <c r="P39" s="423">
        <f t="shared" si="40"/>
        <v>1541061.8181131997</v>
      </c>
      <c r="Q39" s="423">
        <f t="shared" si="40"/>
        <v>1541061.8181131997</v>
      </c>
      <c r="R39" s="423">
        <f t="shared" si="40"/>
        <v>1541061.8181131997</v>
      </c>
      <c r="S39" s="423">
        <f t="shared" si="40"/>
        <v>1541061.8181131997</v>
      </c>
      <c r="T39" s="423">
        <f t="shared" si="40"/>
        <v>1541061.8181131997</v>
      </c>
      <c r="U39" s="423">
        <f t="shared" si="40"/>
        <v>1541061.8181131997</v>
      </c>
      <c r="V39" s="423">
        <f t="shared" si="40"/>
        <v>1541061.8181131997</v>
      </c>
      <c r="W39" s="423">
        <f t="shared" si="40"/>
        <v>1541061.8181131997</v>
      </c>
      <c r="X39" s="423">
        <f t="shared" si="40"/>
        <v>1541061.8181131997</v>
      </c>
      <c r="Y39" s="423">
        <f t="shared" si="40"/>
        <v>1541061.8181131997</v>
      </c>
      <c r="Z39" s="423">
        <f t="shared" si="40"/>
        <v>1541061.8181131997</v>
      </c>
      <c r="AA39" s="423">
        <f t="shared" si="40"/>
        <v>1541061.8181131997</v>
      </c>
      <c r="AB39" s="423">
        <f t="shared" si="40"/>
        <v>1541061.8181131997</v>
      </c>
      <c r="AC39" s="423">
        <f t="shared" si="40"/>
        <v>1541061.8181131997</v>
      </c>
      <c r="AD39" s="423">
        <f t="shared" si="40"/>
        <v>1541061.8181131997</v>
      </c>
      <c r="AE39" s="423">
        <f t="shared" si="40"/>
        <v>1541061.8181131997</v>
      </c>
      <c r="AF39" s="423">
        <f t="shared" si="40"/>
        <v>1541061.8181131997</v>
      </c>
      <c r="AG39" s="423">
        <f t="shared" si="40"/>
        <v>1541061.8181131997</v>
      </c>
      <c r="AH39" s="423">
        <f t="shared" si="40"/>
        <v>1541061.8181131997</v>
      </c>
      <c r="AI39" s="423">
        <f t="shared" si="40"/>
        <v>1541061.8181131997</v>
      </c>
      <c r="AJ39" s="423">
        <f t="shared" si="40"/>
        <v>1541061.8181131997</v>
      </c>
      <c r="AK39" s="423">
        <f t="shared" si="40"/>
        <v>1541061.8181131997</v>
      </c>
      <c r="AL39" s="423">
        <f t="shared" si="40"/>
        <v>1541061.8181131997</v>
      </c>
      <c r="AM39" s="423">
        <f t="shared" si="40"/>
        <v>1541061.8181131997</v>
      </c>
      <c r="AN39" s="423">
        <f t="shared" si="40"/>
        <v>1541061.8181131997</v>
      </c>
      <c r="AO39" s="423">
        <f t="shared" si="40"/>
        <v>1541061.8181131997</v>
      </c>
      <c r="AP39" s="423">
        <f t="shared" si="40"/>
        <v>1541061.8181131997</v>
      </c>
      <c r="AQ39" s="423">
        <f t="shared" si="40"/>
        <v>1541061.8181131997</v>
      </c>
      <c r="AR39" s="423">
        <f t="shared" si="40"/>
        <v>1541061.8181131997</v>
      </c>
      <c r="AS39" s="423">
        <f t="shared" si="40"/>
        <v>1541061.8181131997</v>
      </c>
      <c r="AT39" s="423">
        <f t="shared" si="40"/>
        <v>1541061.8181131997</v>
      </c>
      <c r="AU39" s="424">
        <f t="shared" si="40"/>
        <v>1541061.8181131997</v>
      </c>
      <c r="AV39" s="424">
        <f t="shared" si="40"/>
        <v>1541061.8181131997</v>
      </c>
      <c r="AW39" s="424">
        <f t="shared" si="40"/>
        <v>1541061.8181131997</v>
      </c>
      <c r="AX39" s="424">
        <f t="shared" si="40"/>
        <v>1541061.8181131997</v>
      </c>
      <c r="AY39" s="424">
        <f t="shared" si="40"/>
        <v>1541061.8181131997</v>
      </c>
      <c r="AZ39" s="424">
        <f t="shared" si="40"/>
        <v>1541061.8181131997</v>
      </c>
      <c r="BA39" s="424">
        <f t="shared" si="40"/>
        <v>1541061.8181131997</v>
      </c>
      <c r="BB39" s="424">
        <f t="shared" si="40"/>
        <v>1541061.8181131997</v>
      </c>
      <c r="BC39" s="424">
        <f t="shared" si="40"/>
        <v>1541061.8181131997</v>
      </c>
      <c r="BD39" s="424">
        <f t="shared" si="40"/>
        <v>1541061.8181131997</v>
      </c>
      <c r="BE39" s="424">
        <f t="shared" si="40"/>
        <v>1541061.8181131997</v>
      </c>
      <c r="BF39" s="424">
        <f t="shared" si="40"/>
        <v>1541061.8181131997</v>
      </c>
      <c r="BG39" s="424">
        <f t="shared" si="40"/>
        <v>1541061.8181131997</v>
      </c>
      <c r="BH39" s="424">
        <f t="shared" si="40"/>
        <v>1541061.8181131997</v>
      </c>
      <c r="BI39" s="424">
        <f t="shared" si="40"/>
        <v>1541061.8181131997</v>
      </c>
      <c r="BJ39" s="424">
        <f t="shared" si="40"/>
        <v>1541061.8181131997</v>
      </c>
      <c r="BK39" s="424">
        <f t="shared" si="40"/>
        <v>1541061.8181131997</v>
      </c>
      <c r="BL39" s="424">
        <f t="shared" si="40"/>
        <v>1541061.8181131997</v>
      </c>
      <c r="BM39" s="424">
        <f t="shared" si="40"/>
        <v>1541061.8181131997</v>
      </c>
      <c r="BN39" s="424">
        <f t="shared" si="40"/>
        <v>1541061.8181131997</v>
      </c>
      <c r="BO39" s="424">
        <f t="shared" si="40"/>
        <v>1541061.8181131997</v>
      </c>
      <c r="BP39" s="424">
        <f t="shared" si="40"/>
        <v>1541061.8181131997</v>
      </c>
      <c r="BQ39" s="424">
        <f t="shared" si="40"/>
        <v>1541061.8181131997</v>
      </c>
      <c r="BR39" s="424">
        <f t="shared" si="40"/>
        <v>1541061.8181131997</v>
      </c>
      <c r="BS39" s="424">
        <f t="shared" ref="BS39:CL39" si="41">16.8349994240702*BS16</f>
        <v>1541061.8181131997</v>
      </c>
      <c r="BT39" s="424">
        <f t="shared" si="41"/>
        <v>1541061.8181131997</v>
      </c>
      <c r="BU39" s="424">
        <f t="shared" si="41"/>
        <v>1541061.8181131997</v>
      </c>
      <c r="BV39" s="424">
        <f t="shared" si="41"/>
        <v>1541061.8181131997</v>
      </c>
      <c r="BW39" s="424">
        <f t="shared" si="41"/>
        <v>1541061.8181131997</v>
      </c>
      <c r="BX39" s="424">
        <f t="shared" si="41"/>
        <v>1541061.8181131997</v>
      </c>
      <c r="BY39" s="424">
        <f t="shared" si="41"/>
        <v>1541061.8181131997</v>
      </c>
      <c r="BZ39" s="424">
        <f t="shared" si="41"/>
        <v>1541061.8181131997</v>
      </c>
      <c r="CA39" s="424">
        <f t="shared" si="41"/>
        <v>1541061.8181131997</v>
      </c>
      <c r="CB39" s="424">
        <f t="shared" si="41"/>
        <v>1541061.8181131997</v>
      </c>
      <c r="CC39" s="424">
        <f t="shared" si="41"/>
        <v>1541061.8181131997</v>
      </c>
      <c r="CD39" s="424">
        <f t="shared" si="41"/>
        <v>1541061.8181131997</v>
      </c>
      <c r="CE39" s="424">
        <f t="shared" si="41"/>
        <v>1541061.8181131997</v>
      </c>
      <c r="CF39" s="424">
        <f t="shared" si="41"/>
        <v>1541061.8181131997</v>
      </c>
      <c r="CG39" s="424">
        <f t="shared" si="41"/>
        <v>1541061.8181131997</v>
      </c>
      <c r="CH39" s="424">
        <f t="shared" si="41"/>
        <v>1541061.8181131997</v>
      </c>
      <c r="CI39" s="424">
        <f t="shared" si="41"/>
        <v>1541061.8181131997</v>
      </c>
      <c r="CJ39" s="424">
        <f t="shared" si="41"/>
        <v>1541061.8181131997</v>
      </c>
      <c r="CK39" s="424">
        <f t="shared" si="41"/>
        <v>1541061.8181131997</v>
      </c>
      <c r="CL39" s="422">
        <f t="shared" si="41"/>
        <v>1541061.8181131997</v>
      </c>
      <c r="CM39" s="397">
        <f t="shared" si="15"/>
        <v>1541061.8181131966</v>
      </c>
      <c r="CN39" s="431" t="s">
        <v>220</v>
      </c>
      <c r="CO39" s="432">
        <v>2.4500000000000002</v>
      </c>
      <c r="CP39" s="432">
        <v>2.4500000000000002</v>
      </c>
      <c r="CQ39" s="432">
        <v>2.4500000000000002</v>
      </c>
      <c r="CR39" s="432">
        <v>2.4500000000000002</v>
      </c>
      <c r="CS39" s="432">
        <v>2.4500000000000002</v>
      </c>
      <c r="CT39" s="432">
        <v>2.4500000000000002</v>
      </c>
      <c r="CU39" s="432">
        <v>2.4500000000000002</v>
      </c>
      <c r="CV39" s="432">
        <v>2.4500000000000002</v>
      </c>
      <c r="CW39" s="432">
        <v>2.4500000000000002</v>
      </c>
      <c r="CX39" s="432">
        <v>2.4500000000000002</v>
      </c>
      <c r="CY39" s="432">
        <v>2.4500000000000002</v>
      </c>
      <c r="CZ39" s="432">
        <v>2.4500000000000002</v>
      </c>
      <c r="DA39" s="432">
        <v>2.4500000000000002</v>
      </c>
      <c r="DB39" s="432">
        <v>2.4500000000000002</v>
      </c>
      <c r="DC39" s="432">
        <v>2.4500000000000002</v>
      </c>
      <c r="DD39" s="432">
        <v>2.4500000000000002</v>
      </c>
      <c r="DE39" s="432">
        <v>2.4500000000000002</v>
      </c>
      <c r="DF39" s="432">
        <v>2.4500000000000002</v>
      </c>
      <c r="DG39" s="432">
        <v>2.4500000000000002</v>
      </c>
      <c r="DH39" s="432">
        <v>2.4500000000000002</v>
      </c>
      <c r="DI39" s="432">
        <v>2.4500000000000002</v>
      </c>
      <c r="DJ39" s="432">
        <v>2.4500000000000002</v>
      </c>
      <c r="DK39" s="432">
        <v>2.4500000000000002</v>
      </c>
      <c r="DL39" s="432">
        <v>2.4500000000000002</v>
      </c>
      <c r="DM39" s="432">
        <v>2.4500000000000002</v>
      </c>
      <c r="DN39" s="432">
        <v>2.4500000000000002</v>
      </c>
      <c r="DO39" s="432">
        <v>2.4500000000000002</v>
      </c>
      <c r="DP39" s="432">
        <v>2.4500000000000002</v>
      </c>
      <c r="DQ39" s="432">
        <v>2.4500000000000002</v>
      </c>
      <c r="DR39" s="432">
        <v>2.4500000000000002</v>
      </c>
      <c r="DS39" s="432">
        <v>2.4500000000000002</v>
      </c>
      <c r="DT39" s="432">
        <v>2.4500000000000002</v>
      </c>
      <c r="DU39" s="432">
        <v>2.4500000000000002</v>
      </c>
      <c r="DV39" s="432">
        <v>2.4500000000000002</v>
      </c>
      <c r="DW39" s="432">
        <v>2.4500000000000002</v>
      </c>
      <c r="DX39" s="432">
        <v>2.4500000000000002</v>
      </c>
      <c r="DY39" s="432">
        <v>2.4500000000000002</v>
      </c>
      <c r="DZ39" s="432">
        <v>2.4500000000000002</v>
      </c>
      <c r="EA39" s="432">
        <v>2.4500000000000002</v>
      </c>
      <c r="EB39" s="432">
        <v>2.4500000000000002</v>
      </c>
      <c r="EC39" s="432">
        <v>2.4500000000000002</v>
      </c>
      <c r="ED39" s="432">
        <v>2.4500000000000002</v>
      </c>
      <c r="EE39" s="432">
        <v>2.4500000000000002</v>
      </c>
      <c r="EF39" s="432">
        <v>2.4500000000000002</v>
      </c>
      <c r="EG39" s="432">
        <v>2.4500000000000002</v>
      </c>
      <c r="EH39" s="432">
        <v>2.4500000000000002</v>
      </c>
      <c r="EI39" s="432">
        <v>2.4500000000000002</v>
      </c>
      <c r="EJ39" s="432">
        <v>2.4500000000000002</v>
      </c>
      <c r="EK39" s="432">
        <v>2.4500000000000002</v>
      </c>
      <c r="EL39" s="432">
        <v>2.4500000000000002</v>
      </c>
      <c r="EM39" s="432">
        <v>2.4500000000000002</v>
      </c>
      <c r="EN39" s="432">
        <v>2.4500000000000002</v>
      </c>
      <c r="EO39" s="432">
        <v>2.4500000000000002</v>
      </c>
      <c r="EP39" s="432">
        <v>2.4500000000000002</v>
      </c>
      <c r="EQ39" s="432">
        <v>2.4500000000000002</v>
      </c>
      <c r="ER39" s="432">
        <v>2.4500000000000002</v>
      </c>
      <c r="ES39" s="432">
        <v>2.4500000000000002</v>
      </c>
      <c r="ET39" s="432">
        <v>2.4500000000000002</v>
      </c>
      <c r="EU39" s="432">
        <v>2.4500000000000002</v>
      </c>
      <c r="EV39" s="432">
        <v>2.4500000000000002</v>
      </c>
      <c r="EW39" s="432">
        <v>2.4500000000000002</v>
      </c>
      <c r="EX39" s="432">
        <v>2.4500000000000002</v>
      </c>
      <c r="EY39" s="432">
        <v>2.4500000000000002</v>
      </c>
      <c r="EZ39" s="432">
        <v>2.4500000000000002</v>
      </c>
      <c r="FA39" s="432">
        <v>2.4500000000000002</v>
      </c>
      <c r="FB39" s="432">
        <v>2.4500000000000002</v>
      </c>
      <c r="FC39" s="432">
        <v>2.4500000000000002</v>
      </c>
      <c r="FD39" s="432">
        <v>2.4500000000000002</v>
      </c>
      <c r="FE39" s="432">
        <v>2.4500000000000002</v>
      </c>
      <c r="FF39" s="432">
        <v>2.4500000000000002</v>
      </c>
      <c r="FG39" s="432">
        <v>2.4500000000000002</v>
      </c>
      <c r="FH39" s="432">
        <v>2.4500000000000002</v>
      </c>
      <c r="FI39" s="432">
        <v>2.4500000000000002</v>
      </c>
      <c r="FJ39" s="432">
        <v>2.4500000000000002</v>
      </c>
      <c r="FK39" s="432">
        <v>2.4500000000000002</v>
      </c>
      <c r="FL39" s="432">
        <v>2.4500000000000002</v>
      </c>
      <c r="FM39" s="432">
        <v>2.4500000000000002</v>
      </c>
      <c r="FN39" s="432">
        <v>2.4500000000000002</v>
      </c>
      <c r="FO39" s="432">
        <v>2.4500000000000002</v>
      </c>
      <c r="FP39" s="432">
        <v>2.4500000000000002</v>
      </c>
      <c r="FQ39" s="432">
        <v>2.4500000000000002</v>
      </c>
      <c r="FR39" s="432">
        <v>2.4500000000000002</v>
      </c>
      <c r="FS39" s="432">
        <v>2.4500000000000002</v>
      </c>
      <c r="FT39" s="432">
        <v>2.4500000000000002</v>
      </c>
      <c r="FU39" s="432">
        <v>2.4500000000000002</v>
      </c>
      <c r="FV39" s="271">
        <f t="shared" si="31"/>
        <v>2.450000000000002</v>
      </c>
      <c r="FW39" s="312"/>
    </row>
    <row r="40" spans="1:179">
      <c r="A40" s="1074"/>
      <c r="B40" s="398" t="s">
        <v>307</v>
      </c>
      <c r="C40" s="399" t="s">
        <v>148</v>
      </c>
      <c r="D40" s="399">
        <v>2.8000000000000001E-2</v>
      </c>
      <c r="E40" s="1066"/>
      <c r="F40" s="433" t="s">
        <v>325</v>
      </c>
      <c r="G40" s="423">
        <f t="shared" ref="G40:BR40" si="42">$D$40*G16</f>
        <v>2563.0966666666668</v>
      </c>
      <c r="H40" s="423">
        <f t="shared" si="42"/>
        <v>2563.0966666666668</v>
      </c>
      <c r="I40" s="423">
        <f t="shared" si="42"/>
        <v>2563.0966666666668</v>
      </c>
      <c r="J40" s="423">
        <f t="shared" si="42"/>
        <v>2563.0966666666668</v>
      </c>
      <c r="K40" s="423">
        <f t="shared" si="42"/>
        <v>2563.0966666666668</v>
      </c>
      <c r="L40" s="423">
        <f t="shared" si="42"/>
        <v>2563.0966666666668</v>
      </c>
      <c r="M40" s="423">
        <f t="shared" si="42"/>
        <v>2563.0966666666668</v>
      </c>
      <c r="N40" s="423">
        <f t="shared" si="42"/>
        <v>2563.0966666666668</v>
      </c>
      <c r="O40" s="423">
        <f t="shared" si="42"/>
        <v>2563.0966666666668</v>
      </c>
      <c r="P40" s="423">
        <f t="shared" si="42"/>
        <v>2563.0966666666668</v>
      </c>
      <c r="Q40" s="423">
        <f t="shared" si="42"/>
        <v>2563.0966666666668</v>
      </c>
      <c r="R40" s="423">
        <f t="shared" si="42"/>
        <v>2563.0966666666668</v>
      </c>
      <c r="S40" s="423">
        <f t="shared" si="42"/>
        <v>2563.0966666666668</v>
      </c>
      <c r="T40" s="423">
        <f t="shared" si="42"/>
        <v>2563.0966666666668</v>
      </c>
      <c r="U40" s="423">
        <f t="shared" si="42"/>
        <v>2563.0966666666668</v>
      </c>
      <c r="V40" s="423">
        <f t="shared" si="42"/>
        <v>2563.0966666666668</v>
      </c>
      <c r="W40" s="423">
        <f t="shared" si="42"/>
        <v>2563.0966666666668</v>
      </c>
      <c r="X40" s="423">
        <f t="shared" si="42"/>
        <v>2563.0966666666668</v>
      </c>
      <c r="Y40" s="423">
        <f t="shared" si="42"/>
        <v>2563.0966666666668</v>
      </c>
      <c r="Z40" s="423">
        <f t="shared" si="42"/>
        <v>2563.0966666666668</v>
      </c>
      <c r="AA40" s="423">
        <f t="shared" si="42"/>
        <v>2563.0966666666668</v>
      </c>
      <c r="AB40" s="423">
        <f t="shared" si="42"/>
        <v>2563.0966666666668</v>
      </c>
      <c r="AC40" s="423">
        <f t="shared" si="42"/>
        <v>2563.0966666666668</v>
      </c>
      <c r="AD40" s="423">
        <f t="shared" si="42"/>
        <v>2563.0966666666668</v>
      </c>
      <c r="AE40" s="423">
        <f t="shared" si="42"/>
        <v>2563.0966666666668</v>
      </c>
      <c r="AF40" s="423">
        <f t="shared" si="42"/>
        <v>2563.0966666666668</v>
      </c>
      <c r="AG40" s="423">
        <f t="shared" si="42"/>
        <v>2563.0966666666668</v>
      </c>
      <c r="AH40" s="423">
        <f t="shared" si="42"/>
        <v>2563.0966666666668</v>
      </c>
      <c r="AI40" s="423">
        <f t="shared" si="42"/>
        <v>2563.0966666666668</v>
      </c>
      <c r="AJ40" s="423">
        <f t="shared" si="42"/>
        <v>2563.0966666666668</v>
      </c>
      <c r="AK40" s="423">
        <f t="shared" si="42"/>
        <v>2563.0966666666668</v>
      </c>
      <c r="AL40" s="423">
        <f t="shared" si="42"/>
        <v>2563.0966666666668</v>
      </c>
      <c r="AM40" s="423">
        <f t="shared" si="42"/>
        <v>2563.0966666666668</v>
      </c>
      <c r="AN40" s="423">
        <f t="shared" si="42"/>
        <v>2563.0966666666668</v>
      </c>
      <c r="AO40" s="423">
        <f t="shared" si="42"/>
        <v>2563.0966666666668</v>
      </c>
      <c r="AP40" s="423">
        <f t="shared" si="42"/>
        <v>2563.0966666666668</v>
      </c>
      <c r="AQ40" s="423">
        <f t="shared" si="42"/>
        <v>2563.0966666666668</v>
      </c>
      <c r="AR40" s="423">
        <f t="shared" si="42"/>
        <v>2563.0966666666668</v>
      </c>
      <c r="AS40" s="423">
        <f t="shared" si="42"/>
        <v>2563.0966666666668</v>
      </c>
      <c r="AT40" s="423">
        <f t="shared" si="42"/>
        <v>2563.0966666666668</v>
      </c>
      <c r="AU40" s="424">
        <f t="shared" si="42"/>
        <v>2563.0966666666668</v>
      </c>
      <c r="AV40" s="424">
        <f t="shared" si="42"/>
        <v>2563.0966666666668</v>
      </c>
      <c r="AW40" s="424">
        <f t="shared" si="42"/>
        <v>2563.0966666666668</v>
      </c>
      <c r="AX40" s="424">
        <f t="shared" si="42"/>
        <v>2563.0966666666668</v>
      </c>
      <c r="AY40" s="424">
        <f t="shared" si="42"/>
        <v>2563.0966666666668</v>
      </c>
      <c r="AZ40" s="424">
        <f t="shared" si="42"/>
        <v>2563.0966666666668</v>
      </c>
      <c r="BA40" s="424">
        <f t="shared" si="42"/>
        <v>2563.0966666666668</v>
      </c>
      <c r="BB40" s="424">
        <f t="shared" si="42"/>
        <v>2563.0966666666668</v>
      </c>
      <c r="BC40" s="424">
        <f t="shared" si="42"/>
        <v>2563.0966666666668</v>
      </c>
      <c r="BD40" s="424">
        <f t="shared" si="42"/>
        <v>2563.0966666666668</v>
      </c>
      <c r="BE40" s="424">
        <f t="shared" si="42"/>
        <v>2563.0966666666668</v>
      </c>
      <c r="BF40" s="424">
        <f t="shared" si="42"/>
        <v>2563.0966666666668</v>
      </c>
      <c r="BG40" s="424">
        <f t="shared" si="42"/>
        <v>2563.0966666666668</v>
      </c>
      <c r="BH40" s="424">
        <f t="shared" si="42"/>
        <v>2563.0966666666668</v>
      </c>
      <c r="BI40" s="424">
        <f t="shared" si="42"/>
        <v>2563.0966666666668</v>
      </c>
      <c r="BJ40" s="424">
        <f t="shared" si="42"/>
        <v>2563.0966666666668</v>
      </c>
      <c r="BK40" s="424">
        <f t="shared" si="42"/>
        <v>2563.0966666666668</v>
      </c>
      <c r="BL40" s="424">
        <f t="shared" si="42"/>
        <v>2563.0966666666668</v>
      </c>
      <c r="BM40" s="424">
        <f t="shared" si="42"/>
        <v>2563.0966666666668</v>
      </c>
      <c r="BN40" s="424">
        <f t="shared" si="42"/>
        <v>2563.0966666666668</v>
      </c>
      <c r="BO40" s="424">
        <f t="shared" si="42"/>
        <v>2563.0966666666668</v>
      </c>
      <c r="BP40" s="424">
        <f t="shared" si="42"/>
        <v>2563.0966666666668</v>
      </c>
      <c r="BQ40" s="424">
        <f t="shared" si="42"/>
        <v>2563.0966666666668</v>
      </c>
      <c r="BR40" s="424">
        <f t="shared" si="42"/>
        <v>2563.0966666666668</v>
      </c>
      <c r="BS40" s="424">
        <f t="shared" ref="BS40:CL40" si="43">$D$40*BS16</f>
        <v>2563.0966666666668</v>
      </c>
      <c r="BT40" s="424">
        <f t="shared" si="43"/>
        <v>2563.0966666666668</v>
      </c>
      <c r="BU40" s="424">
        <f t="shared" si="43"/>
        <v>2563.0966666666668</v>
      </c>
      <c r="BV40" s="424">
        <f t="shared" si="43"/>
        <v>2563.0966666666668</v>
      </c>
      <c r="BW40" s="424">
        <f t="shared" si="43"/>
        <v>2563.0966666666668</v>
      </c>
      <c r="BX40" s="424">
        <f t="shared" si="43"/>
        <v>2563.0966666666668</v>
      </c>
      <c r="BY40" s="424">
        <f t="shared" si="43"/>
        <v>2563.0966666666668</v>
      </c>
      <c r="BZ40" s="424">
        <f t="shared" si="43"/>
        <v>2563.0966666666668</v>
      </c>
      <c r="CA40" s="424">
        <f t="shared" si="43"/>
        <v>2563.0966666666668</v>
      </c>
      <c r="CB40" s="424">
        <f t="shared" si="43"/>
        <v>2563.0966666666668</v>
      </c>
      <c r="CC40" s="424">
        <f t="shared" si="43"/>
        <v>2563.0966666666668</v>
      </c>
      <c r="CD40" s="424">
        <f t="shared" si="43"/>
        <v>2563.0966666666668</v>
      </c>
      <c r="CE40" s="424">
        <f t="shared" si="43"/>
        <v>2563.0966666666668</v>
      </c>
      <c r="CF40" s="424">
        <f t="shared" si="43"/>
        <v>2563.0966666666668</v>
      </c>
      <c r="CG40" s="424">
        <f t="shared" si="43"/>
        <v>2563.0966666666668</v>
      </c>
      <c r="CH40" s="424">
        <f t="shared" si="43"/>
        <v>2563.0966666666668</v>
      </c>
      <c r="CI40" s="424">
        <f t="shared" si="43"/>
        <v>2563.0966666666668</v>
      </c>
      <c r="CJ40" s="424">
        <f t="shared" si="43"/>
        <v>2563.0966666666668</v>
      </c>
      <c r="CK40" s="424">
        <f t="shared" si="43"/>
        <v>2563.0966666666668</v>
      </c>
      <c r="CL40" s="422">
        <f t="shared" si="43"/>
        <v>2563.0966666666668</v>
      </c>
      <c r="CM40" s="397">
        <f t="shared" si="15"/>
        <v>2563.0966666666709</v>
      </c>
      <c r="CN40" s="431" t="s">
        <v>221</v>
      </c>
      <c r="CO40" s="432">
        <v>752</v>
      </c>
      <c r="CP40" s="432">
        <v>752</v>
      </c>
      <c r="CQ40" s="432">
        <v>752</v>
      </c>
      <c r="CR40" s="432">
        <v>752</v>
      </c>
      <c r="CS40" s="432">
        <v>752</v>
      </c>
      <c r="CT40" s="432">
        <v>752</v>
      </c>
      <c r="CU40" s="432">
        <v>752</v>
      </c>
      <c r="CV40" s="432">
        <v>752</v>
      </c>
      <c r="CW40" s="432">
        <v>752</v>
      </c>
      <c r="CX40" s="432">
        <v>752</v>
      </c>
      <c r="CY40" s="432">
        <v>752</v>
      </c>
      <c r="CZ40" s="432">
        <v>752</v>
      </c>
      <c r="DA40" s="432">
        <v>752</v>
      </c>
      <c r="DB40" s="432">
        <v>752</v>
      </c>
      <c r="DC40" s="432">
        <v>752</v>
      </c>
      <c r="DD40" s="432">
        <v>752</v>
      </c>
      <c r="DE40" s="432">
        <v>752</v>
      </c>
      <c r="DF40" s="432">
        <v>752</v>
      </c>
      <c r="DG40" s="432">
        <v>752</v>
      </c>
      <c r="DH40" s="432">
        <v>752</v>
      </c>
      <c r="DI40" s="432">
        <v>752</v>
      </c>
      <c r="DJ40" s="432">
        <v>752</v>
      </c>
      <c r="DK40" s="432">
        <v>752</v>
      </c>
      <c r="DL40" s="432">
        <v>752</v>
      </c>
      <c r="DM40" s="432">
        <v>752</v>
      </c>
      <c r="DN40" s="432">
        <v>752</v>
      </c>
      <c r="DO40" s="432">
        <v>752</v>
      </c>
      <c r="DP40" s="432">
        <v>752</v>
      </c>
      <c r="DQ40" s="432">
        <v>752</v>
      </c>
      <c r="DR40" s="432">
        <v>752</v>
      </c>
      <c r="DS40" s="432">
        <v>752</v>
      </c>
      <c r="DT40" s="432">
        <v>752</v>
      </c>
      <c r="DU40" s="432">
        <v>752</v>
      </c>
      <c r="DV40" s="432">
        <v>752</v>
      </c>
      <c r="DW40" s="432">
        <v>752</v>
      </c>
      <c r="DX40" s="432">
        <v>752</v>
      </c>
      <c r="DY40" s="432">
        <v>752</v>
      </c>
      <c r="DZ40" s="432">
        <v>752</v>
      </c>
      <c r="EA40" s="432">
        <v>752</v>
      </c>
      <c r="EB40" s="432">
        <v>752</v>
      </c>
      <c r="EC40" s="432">
        <v>752</v>
      </c>
      <c r="ED40" s="432">
        <v>752</v>
      </c>
      <c r="EE40" s="432">
        <v>752</v>
      </c>
      <c r="EF40" s="432">
        <v>752</v>
      </c>
      <c r="EG40" s="432">
        <v>752</v>
      </c>
      <c r="EH40" s="432">
        <v>752</v>
      </c>
      <c r="EI40" s="432">
        <v>752</v>
      </c>
      <c r="EJ40" s="432">
        <v>752</v>
      </c>
      <c r="EK40" s="432">
        <v>752</v>
      </c>
      <c r="EL40" s="432">
        <v>752</v>
      </c>
      <c r="EM40" s="432">
        <v>752</v>
      </c>
      <c r="EN40" s="432">
        <v>752</v>
      </c>
      <c r="EO40" s="432">
        <v>752</v>
      </c>
      <c r="EP40" s="432">
        <v>752</v>
      </c>
      <c r="EQ40" s="432">
        <v>752</v>
      </c>
      <c r="ER40" s="432">
        <v>752</v>
      </c>
      <c r="ES40" s="432">
        <v>752</v>
      </c>
      <c r="ET40" s="432">
        <v>752</v>
      </c>
      <c r="EU40" s="432">
        <v>752</v>
      </c>
      <c r="EV40" s="432">
        <v>752</v>
      </c>
      <c r="EW40" s="432">
        <v>752</v>
      </c>
      <c r="EX40" s="432">
        <v>752</v>
      </c>
      <c r="EY40" s="432">
        <v>752</v>
      </c>
      <c r="EZ40" s="432">
        <v>752</v>
      </c>
      <c r="FA40" s="432">
        <v>752</v>
      </c>
      <c r="FB40" s="432">
        <v>752</v>
      </c>
      <c r="FC40" s="432">
        <v>752</v>
      </c>
      <c r="FD40" s="432">
        <v>752</v>
      </c>
      <c r="FE40" s="432">
        <v>752</v>
      </c>
      <c r="FF40" s="432">
        <v>752</v>
      </c>
      <c r="FG40" s="432">
        <v>752</v>
      </c>
      <c r="FH40" s="432">
        <v>752</v>
      </c>
      <c r="FI40" s="432">
        <v>752</v>
      </c>
      <c r="FJ40" s="432">
        <v>752</v>
      </c>
      <c r="FK40" s="432">
        <v>752</v>
      </c>
      <c r="FL40" s="432">
        <v>752</v>
      </c>
      <c r="FM40" s="432">
        <v>752</v>
      </c>
      <c r="FN40" s="432">
        <v>752</v>
      </c>
      <c r="FO40" s="432">
        <v>752</v>
      </c>
      <c r="FP40" s="432">
        <v>752</v>
      </c>
      <c r="FQ40" s="432">
        <v>752</v>
      </c>
      <c r="FR40" s="432">
        <v>752</v>
      </c>
      <c r="FS40" s="432">
        <v>752</v>
      </c>
      <c r="FT40" s="432">
        <v>752</v>
      </c>
      <c r="FU40" s="432">
        <v>752</v>
      </c>
      <c r="FV40" s="271">
        <f t="shared" si="31"/>
        <v>752</v>
      </c>
      <c r="FW40" s="312"/>
    </row>
    <row r="41" spans="1:179">
      <c r="A41" s="434"/>
      <c r="B41" s="435" t="s">
        <v>307</v>
      </c>
      <c r="C41" s="436" t="s">
        <v>326</v>
      </c>
      <c r="D41" s="436"/>
      <c r="E41" s="437"/>
      <c r="F41" s="438" t="s">
        <v>327</v>
      </c>
      <c r="G41" s="439">
        <f t="shared" ref="G41:BR41" si="44">G34*CP35+G36*CP36+G37*CP34+G38*CP37+G35*CP38+CP39*G39+G40*CP40</f>
        <v>477339859.75181001</v>
      </c>
      <c r="H41" s="439">
        <f t="shared" si="44"/>
        <v>477339859.75181001</v>
      </c>
      <c r="I41" s="439">
        <f t="shared" si="44"/>
        <v>477339859.75181001</v>
      </c>
      <c r="J41" s="439">
        <f t="shared" si="44"/>
        <v>477341397.60980999</v>
      </c>
      <c r="K41" s="439">
        <f t="shared" si="44"/>
        <v>477697942.66397667</v>
      </c>
      <c r="L41" s="439">
        <f t="shared" si="44"/>
        <v>477698455.28331</v>
      </c>
      <c r="M41" s="439">
        <f t="shared" si="44"/>
        <v>477698455.28331</v>
      </c>
      <c r="N41" s="439">
        <f t="shared" si="44"/>
        <v>478699877.0237214</v>
      </c>
      <c r="O41" s="439">
        <f t="shared" si="44"/>
        <v>477698967.90264332</v>
      </c>
      <c r="P41" s="439">
        <f t="shared" si="44"/>
        <v>478701799.34622139</v>
      </c>
      <c r="Q41" s="439">
        <f t="shared" si="44"/>
        <v>479702708.46730095</v>
      </c>
      <c r="R41" s="439">
        <f t="shared" si="44"/>
        <v>480703617.58838046</v>
      </c>
      <c r="S41" s="439">
        <f t="shared" si="44"/>
        <v>481705039.32879186</v>
      </c>
      <c r="T41" s="439">
        <f t="shared" si="44"/>
        <v>482707675.01980197</v>
      </c>
      <c r="U41" s="439">
        <f t="shared" si="44"/>
        <v>483708770.14262933</v>
      </c>
      <c r="V41" s="439">
        <f t="shared" si="44"/>
        <v>484791866.97104126</v>
      </c>
      <c r="W41" s="439">
        <f t="shared" si="44"/>
        <v>485763063.50553155</v>
      </c>
      <c r="X41" s="439">
        <f t="shared" si="44"/>
        <v>486734260.04002035</v>
      </c>
      <c r="Y41" s="439">
        <f t="shared" si="44"/>
        <v>487705456.57451063</v>
      </c>
      <c r="Z41" s="439">
        <f t="shared" si="44"/>
        <v>488676653.10900104</v>
      </c>
      <c r="AA41" s="439">
        <f t="shared" si="44"/>
        <v>489647849.64348972</v>
      </c>
      <c r="AB41" s="439">
        <f t="shared" si="44"/>
        <v>490619046.17798007</v>
      </c>
      <c r="AC41" s="439">
        <f t="shared" si="44"/>
        <v>491590242.71247041</v>
      </c>
      <c r="AD41" s="439">
        <f t="shared" si="44"/>
        <v>492561439.24695915</v>
      </c>
      <c r="AE41" s="439">
        <f t="shared" si="44"/>
        <v>493533989.38562572</v>
      </c>
      <c r="AF41" s="439">
        <f t="shared" si="44"/>
        <v>494503832.31593835</v>
      </c>
      <c r="AG41" s="439">
        <f t="shared" si="44"/>
        <v>495475369.67694241</v>
      </c>
      <c r="AH41" s="439">
        <f t="shared" si="44"/>
        <v>496446225.38491893</v>
      </c>
      <c r="AI41" s="439">
        <f t="shared" si="44"/>
        <v>497417421.91940773</v>
      </c>
      <c r="AJ41" s="439">
        <f t="shared" si="44"/>
        <v>498388618.45389795</v>
      </c>
      <c r="AK41" s="439">
        <f t="shared" si="44"/>
        <v>499359814.98838836</v>
      </c>
      <c r="AL41" s="439">
        <f t="shared" si="44"/>
        <v>500331011.5228771</v>
      </c>
      <c r="AM41" s="439">
        <f t="shared" si="44"/>
        <v>501302208.05736738</v>
      </c>
      <c r="AN41" s="439">
        <f t="shared" si="44"/>
        <v>502273404.59185624</v>
      </c>
      <c r="AO41" s="439">
        <f t="shared" si="44"/>
        <v>503244601.12634659</v>
      </c>
      <c r="AP41" s="439">
        <f t="shared" si="44"/>
        <v>504215797.66083676</v>
      </c>
      <c r="AQ41" s="439">
        <f t="shared" si="44"/>
        <v>505186994.19532567</v>
      </c>
      <c r="AR41" s="439">
        <f t="shared" si="44"/>
        <v>506158190.72981596</v>
      </c>
      <c r="AS41" s="439">
        <f t="shared" si="44"/>
        <v>507129387.26430625</v>
      </c>
      <c r="AT41" s="439">
        <f t="shared" si="44"/>
        <v>397254100.50479406</v>
      </c>
      <c r="AU41" s="440">
        <f t="shared" si="44"/>
        <v>483920683.09937733</v>
      </c>
      <c r="AV41" s="440">
        <f t="shared" si="44"/>
        <v>486492852.50090003</v>
      </c>
      <c r="AW41" s="440">
        <f t="shared" si="44"/>
        <v>470003230.81086928</v>
      </c>
      <c r="AX41" s="440">
        <f t="shared" si="44"/>
        <v>510457950.34473151</v>
      </c>
      <c r="AY41" s="440">
        <f t="shared" si="44"/>
        <v>553162168.22842276</v>
      </c>
      <c r="AZ41" s="440">
        <f t="shared" si="44"/>
        <v>565427599.63092494</v>
      </c>
      <c r="BA41" s="440">
        <f t="shared" si="44"/>
        <v>573239306.3241235</v>
      </c>
      <c r="BB41" s="440">
        <f t="shared" si="44"/>
        <v>564522945.84526408</v>
      </c>
      <c r="BC41" s="440">
        <f t="shared" si="44"/>
        <v>604665574.54017556</v>
      </c>
      <c r="BD41" s="440">
        <f t="shared" si="44"/>
        <v>572421107.51355517</v>
      </c>
      <c r="BE41" s="440">
        <f t="shared" si="44"/>
        <v>539028918.27821779</v>
      </c>
      <c r="BF41" s="440">
        <f t="shared" si="44"/>
        <v>533379218.89280331</v>
      </c>
      <c r="BG41" s="440">
        <f t="shared" si="44"/>
        <v>575250253.40292633</v>
      </c>
      <c r="BH41" s="440">
        <f t="shared" si="44"/>
        <v>517505070.30937654</v>
      </c>
      <c r="BI41" s="440">
        <f t="shared" si="44"/>
        <v>462028288.04331738</v>
      </c>
      <c r="BJ41" s="440">
        <f t="shared" si="44"/>
        <v>452326461.49762744</v>
      </c>
      <c r="BK41" s="440">
        <f t="shared" si="44"/>
        <v>478102151.58679408</v>
      </c>
      <c r="BL41" s="440">
        <f t="shared" si="44"/>
        <v>516531987.22804409</v>
      </c>
      <c r="BM41" s="440">
        <f t="shared" si="44"/>
        <v>477081672.95679414</v>
      </c>
      <c r="BN41" s="440">
        <f t="shared" si="44"/>
        <v>463412733.35696065</v>
      </c>
      <c r="BO41" s="440">
        <f t="shared" si="44"/>
        <v>545296724.03421068</v>
      </c>
      <c r="BP41" s="440">
        <f t="shared" si="44"/>
        <v>536313244.1419608</v>
      </c>
      <c r="BQ41" s="440">
        <f t="shared" si="44"/>
        <v>585625301.68612742</v>
      </c>
      <c r="BR41" s="440">
        <f t="shared" si="44"/>
        <v>507446624.24329406</v>
      </c>
      <c r="BS41" s="440">
        <f t="shared" ref="BS41:CL41" si="45">BS34*FB35+BS36*FB36+BS37*FB34+BS38*FB37+BS35*FB38+FB39*BS39+BS40*FB40</f>
        <v>488115950.56946075</v>
      </c>
      <c r="BT41" s="440">
        <f t="shared" si="45"/>
        <v>362489410.71162736</v>
      </c>
      <c r="BU41" s="440">
        <f t="shared" si="45"/>
        <v>435571461.97196072</v>
      </c>
      <c r="BV41" s="440">
        <f t="shared" si="45"/>
        <v>417692269.94046074</v>
      </c>
      <c r="BW41" s="440">
        <f t="shared" si="45"/>
        <v>316219858.75779402</v>
      </c>
      <c r="BX41" s="440">
        <f t="shared" si="45"/>
        <v>304150328.09362733</v>
      </c>
      <c r="BY41" s="440">
        <f t="shared" si="45"/>
        <v>347160133.70679402</v>
      </c>
      <c r="BZ41" s="440">
        <f t="shared" si="45"/>
        <v>399202612.36037743</v>
      </c>
      <c r="CA41" s="440">
        <f t="shared" si="45"/>
        <v>416833751.55804408</v>
      </c>
      <c r="CB41" s="440">
        <f t="shared" si="45"/>
        <v>454482913.72421074</v>
      </c>
      <c r="CC41" s="440">
        <f t="shared" si="45"/>
        <v>487440299.98029405</v>
      </c>
      <c r="CD41" s="440">
        <f t="shared" si="45"/>
        <v>553214450.02462733</v>
      </c>
      <c r="CE41" s="440">
        <f t="shared" si="45"/>
        <v>642408447.31871068</v>
      </c>
      <c r="CF41" s="440">
        <f t="shared" si="45"/>
        <v>575209700.68529415</v>
      </c>
      <c r="CG41" s="440">
        <f t="shared" si="45"/>
        <v>489513662.10529411</v>
      </c>
      <c r="CH41" s="440">
        <f t="shared" si="45"/>
        <v>485062579.28004408</v>
      </c>
      <c r="CI41" s="440">
        <f t="shared" si="45"/>
        <v>524684300.64087737</v>
      </c>
      <c r="CJ41" s="440">
        <f t="shared" si="45"/>
        <v>585379720.40979409</v>
      </c>
      <c r="CK41" s="440">
        <f t="shared" si="45"/>
        <v>667583905.9381274</v>
      </c>
      <c r="CL41" s="441">
        <f t="shared" si="45"/>
        <v>716866908.9507941</v>
      </c>
      <c r="CM41" s="442">
        <f t="shared" si="15"/>
        <v>496777617.45119029</v>
      </c>
      <c r="CN41" s="443" t="s">
        <v>181</v>
      </c>
      <c r="CO41" s="444">
        <f t="shared" ref="CO41:EB41" si="46">0.75*CO36</f>
        <v>27.734853846153825</v>
      </c>
      <c r="CP41" s="444">
        <f t="shared" si="46"/>
        <v>27.734853846153825</v>
      </c>
      <c r="CQ41" s="444">
        <f t="shared" si="46"/>
        <v>27.734853846153825</v>
      </c>
      <c r="CR41" s="444">
        <f t="shared" si="46"/>
        <v>27.734853846153825</v>
      </c>
      <c r="CS41" s="444">
        <f t="shared" si="46"/>
        <v>27.734853846153825</v>
      </c>
      <c r="CT41" s="444">
        <f t="shared" si="46"/>
        <v>27.734853846153825</v>
      </c>
      <c r="CU41" s="444">
        <f t="shared" si="46"/>
        <v>27.734853846153825</v>
      </c>
      <c r="CV41" s="444">
        <f t="shared" si="46"/>
        <v>27.734853846153825</v>
      </c>
      <c r="CW41" s="444">
        <f t="shared" si="46"/>
        <v>28.317217948717946</v>
      </c>
      <c r="CX41" s="444">
        <f t="shared" si="46"/>
        <v>27.734853846153825</v>
      </c>
      <c r="CY41" s="444">
        <f t="shared" si="46"/>
        <v>28.317217948717946</v>
      </c>
      <c r="CZ41" s="444">
        <f t="shared" si="46"/>
        <v>28.899582051282074</v>
      </c>
      <c r="DA41" s="444">
        <f t="shared" si="46"/>
        <v>29.481946153846124</v>
      </c>
      <c r="DB41" s="444">
        <f t="shared" si="46"/>
        <v>30.064310256410252</v>
      </c>
      <c r="DC41" s="444">
        <f t="shared" si="46"/>
        <v>30.646674358974373</v>
      </c>
      <c r="DD41" s="444">
        <f t="shared" si="46"/>
        <v>31.229038461538501</v>
      </c>
      <c r="DE41" s="444">
        <f t="shared" si="46"/>
        <v>31.811402564102551</v>
      </c>
      <c r="DF41" s="444">
        <f t="shared" si="46"/>
        <v>32.393766666666671</v>
      </c>
      <c r="DG41" s="444">
        <f t="shared" si="46"/>
        <v>32.976130769230799</v>
      </c>
      <c r="DH41" s="444">
        <f t="shared" si="46"/>
        <v>33.558494871794849</v>
      </c>
      <c r="DI41" s="444">
        <f t="shared" si="46"/>
        <v>34.140858974358977</v>
      </c>
      <c r="DJ41" s="444">
        <f t="shared" si="46"/>
        <v>34.723223076923098</v>
      </c>
      <c r="DK41" s="444">
        <f t="shared" si="46"/>
        <v>35.305587179487148</v>
      </c>
      <c r="DL41" s="444">
        <f t="shared" si="46"/>
        <v>35.887951282051276</v>
      </c>
      <c r="DM41" s="444">
        <f t="shared" si="46"/>
        <v>36.470315384615397</v>
      </c>
      <c r="DN41" s="444">
        <f t="shared" si="46"/>
        <v>37.052679487179525</v>
      </c>
      <c r="DO41" s="444">
        <f t="shared" si="46"/>
        <v>37.635043589743574</v>
      </c>
      <c r="DP41" s="444">
        <f t="shared" si="46"/>
        <v>38.217407692307702</v>
      </c>
      <c r="DQ41" s="444">
        <f t="shared" si="46"/>
        <v>38.799771794871823</v>
      </c>
      <c r="DR41" s="444">
        <f t="shared" si="46"/>
        <v>39.382135897435873</v>
      </c>
      <c r="DS41" s="444">
        <f t="shared" si="46"/>
        <v>39.964500000000001</v>
      </c>
      <c r="DT41" s="444">
        <f t="shared" si="46"/>
        <v>40.546864102564122</v>
      </c>
      <c r="DU41" s="444">
        <f t="shared" si="46"/>
        <v>41.129228205128179</v>
      </c>
      <c r="DV41" s="444">
        <f t="shared" si="46"/>
        <v>41.7115923076923</v>
      </c>
      <c r="DW41" s="444">
        <f t="shared" si="46"/>
        <v>42.293956410256428</v>
      </c>
      <c r="DX41" s="444">
        <f t="shared" si="46"/>
        <v>42.876320512820548</v>
      </c>
      <c r="DY41" s="444">
        <f t="shared" si="46"/>
        <v>43.458684615384598</v>
      </c>
      <c r="DZ41" s="444">
        <f t="shared" si="46"/>
        <v>44.041048717948726</v>
      </c>
      <c r="EA41" s="444">
        <f t="shared" si="46"/>
        <v>44.623412820512847</v>
      </c>
      <c r="EB41" s="444">
        <f t="shared" si="46"/>
        <v>45.205776923076904</v>
      </c>
      <c r="EC41" s="444">
        <f>0.75*EC36</f>
        <v>42.075000000000003</v>
      </c>
      <c r="ED41" s="444">
        <f t="shared" ref="ED41:FU41" si="47">0.75*ED36</f>
        <v>43.2</v>
      </c>
      <c r="EE41" s="444">
        <f t="shared" si="47"/>
        <v>41.775000000000006</v>
      </c>
      <c r="EF41" s="444">
        <f t="shared" si="47"/>
        <v>44.962500000000006</v>
      </c>
      <c r="EG41" s="444">
        <f t="shared" si="47"/>
        <v>51.427499999999995</v>
      </c>
      <c r="EH41" s="444">
        <f t="shared" si="47"/>
        <v>59.775000000000006</v>
      </c>
      <c r="EI41" s="444">
        <f t="shared" si="47"/>
        <v>63.757500000000007</v>
      </c>
      <c r="EJ41" s="444">
        <f t="shared" si="47"/>
        <v>55.064999999999998</v>
      </c>
      <c r="EK41" s="444">
        <f t="shared" si="47"/>
        <v>51.1875</v>
      </c>
      <c r="EL41" s="444">
        <f t="shared" si="47"/>
        <v>39.9375</v>
      </c>
      <c r="EM41" s="444">
        <f t="shared" si="47"/>
        <v>49.094999999999999</v>
      </c>
      <c r="EN41" s="444">
        <f t="shared" si="47"/>
        <v>45.697499999999998</v>
      </c>
      <c r="EO41" s="444">
        <f t="shared" si="47"/>
        <v>44.775000000000006</v>
      </c>
      <c r="EP41" s="444">
        <f t="shared" si="47"/>
        <v>44.204999999999998</v>
      </c>
      <c r="EQ41" s="444">
        <f t="shared" si="47"/>
        <v>43.462500000000006</v>
      </c>
      <c r="ER41" s="444">
        <f t="shared" si="47"/>
        <v>58.86</v>
      </c>
      <c r="ES41" s="444">
        <f t="shared" si="47"/>
        <v>61.882500000000007</v>
      </c>
      <c r="ET41" s="444">
        <f t="shared" si="47"/>
        <v>62.699999999999996</v>
      </c>
      <c r="EU41" s="444">
        <f t="shared" si="47"/>
        <v>76.612500000000011</v>
      </c>
      <c r="EV41" s="444">
        <f t="shared" si="47"/>
        <v>55.935000000000002</v>
      </c>
      <c r="EW41" s="444">
        <f t="shared" si="47"/>
        <v>58.837500000000006</v>
      </c>
      <c r="EX41" s="444">
        <f t="shared" si="47"/>
        <v>57.652500000000003</v>
      </c>
      <c r="EY41" s="444">
        <f t="shared" si="47"/>
        <v>61.792500000000004</v>
      </c>
      <c r="EZ41" s="444">
        <f t="shared" si="47"/>
        <v>58.41</v>
      </c>
      <c r="FA41" s="444">
        <f t="shared" si="47"/>
        <v>56.542500000000004</v>
      </c>
      <c r="FB41" s="444">
        <f t="shared" si="47"/>
        <v>50.137499999999996</v>
      </c>
      <c r="FC41" s="444">
        <f t="shared" si="47"/>
        <v>48.435000000000002</v>
      </c>
      <c r="FD41" s="444">
        <f t="shared" si="47"/>
        <v>63.727499999999999</v>
      </c>
      <c r="FE41" s="444">
        <f t="shared" si="47"/>
        <v>58.552499999999995</v>
      </c>
      <c r="FF41" s="444">
        <f t="shared" si="47"/>
        <v>53.377499999999998</v>
      </c>
      <c r="FG41" s="444">
        <f t="shared" si="47"/>
        <v>51.172499999999999</v>
      </c>
      <c r="FH41" s="444">
        <f t="shared" si="47"/>
        <v>51.900000000000006</v>
      </c>
      <c r="FI41" s="444">
        <f t="shared" si="47"/>
        <v>53.37</v>
      </c>
      <c r="FJ41" s="444">
        <f t="shared" si="47"/>
        <v>62.175000000000004</v>
      </c>
      <c r="FK41" s="444">
        <f t="shared" si="47"/>
        <v>66.66</v>
      </c>
      <c r="FL41" s="444">
        <f t="shared" si="47"/>
        <v>60.105000000000004</v>
      </c>
      <c r="FM41" s="444">
        <f t="shared" si="47"/>
        <v>67.072500000000005</v>
      </c>
      <c r="FN41" s="444">
        <f t="shared" si="47"/>
        <v>77.085000000000008</v>
      </c>
      <c r="FO41" s="444">
        <f t="shared" si="47"/>
        <v>76.6875</v>
      </c>
      <c r="FP41" s="444">
        <f t="shared" si="47"/>
        <v>75.239999999999995</v>
      </c>
      <c r="FQ41" s="444">
        <f t="shared" si="47"/>
        <v>61.005000000000003</v>
      </c>
      <c r="FR41" s="444">
        <f t="shared" si="47"/>
        <v>68.002499999999998</v>
      </c>
      <c r="FS41" s="444">
        <f t="shared" si="47"/>
        <v>68.894999999999996</v>
      </c>
      <c r="FT41" s="444">
        <f t="shared" si="47"/>
        <v>71.992499999999993</v>
      </c>
      <c r="FU41" s="444">
        <f t="shared" si="47"/>
        <v>71.212500000000006</v>
      </c>
      <c r="FV41" s="445">
        <f t="shared" si="31"/>
        <v>57.476166666666664</v>
      </c>
      <c r="FW41" s="312"/>
    </row>
    <row r="42" spans="1:179">
      <c r="A42" s="1057" t="s">
        <v>328</v>
      </c>
      <c r="B42" s="286" t="s">
        <v>307</v>
      </c>
      <c r="C42" s="356" t="s">
        <v>326</v>
      </c>
      <c r="D42" s="356"/>
      <c r="E42" s="158">
        <v>58.016529232000003</v>
      </c>
      <c r="F42" s="446" t="s">
        <v>329</v>
      </c>
      <c r="G42" s="447">
        <f t="shared" ref="G42:AS42" si="48">$E$42*G16</f>
        <v>5310784.7387895873</v>
      </c>
      <c r="H42" s="447">
        <f t="shared" si="48"/>
        <v>5310784.7387895873</v>
      </c>
      <c r="I42" s="447">
        <f t="shared" si="48"/>
        <v>5310784.7387895873</v>
      </c>
      <c r="J42" s="447">
        <f t="shared" si="48"/>
        <v>5310784.7387895873</v>
      </c>
      <c r="K42" s="447">
        <f t="shared" si="48"/>
        <v>5310784.7387895873</v>
      </c>
      <c r="L42" s="447">
        <f t="shared" si="48"/>
        <v>5310784.7387895873</v>
      </c>
      <c r="M42" s="447">
        <f t="shared" si="48"/>
        <v>5310784.7387895873</v>
      </c>
      <c r="N42" s="447">
        <f t="shared" si="48"/>
        <v>5310784.7387895873</v>
      </c>
      <c r="O42" s="447">
        <f t="shared" si="48"/>
        <v>5310784.7387895873</v>
      </c>
      <c r="P42" s="447">
        <f t="shared" si="48"/>
        <v>5310784.7387895873</v>
      </c>
      <c r="Q42" s="447">
        <f t="shared" si="48"/>
        <v>5310784.7387895873</v>
      </c>
      <c r="R42" s="447">
        <f t="shared" si="48"/>
        <v>5310784.7387895873</v>
      </c>
      <c r="S42" s="447">
        <f t="shared" si="48"/>
        <v>5310784.7387895873</v>
      </c>
      <c r="T42" s="447">
        <f t="shared" si="48"/>
        <v>5310784.7387895873</v>
      </c>
      <c r="U42" s="447">
        <f t="shared" si="48"/>
        <v>5310784.7387895873</v>
      </c>
      <c r="V42" s="447">
        <f t="shared" si="48"/>
        <v>5310784.7387895873</v>
      </c>
      <c r="W42" s="447">
        <f t="shared" si="48"/>
        <v>5310784.7387895873</v>
      </c>
      <c r="X42" s="447">
        <f t="shared" si="48"/>
        <v>5310784.7387895873</v>
      </c>
      <c r="Y42" s="447">
        <f t="shared" si="48"/>
        <v>5310784.7387895873</v>
      </c>
      <c r="Z42" s="447">
        <f t="shared" si="48"/>
        <v>5310784.7387895873</v>
      </c>
      <c r="AA42" s="447">
        <f t="shared" si="48"/>
        <v>5310784.7387895873</v>
      </c>
      <c r="AB42" s="447">
        <f t="shared" si="48"/>
        <v>5310784.7387895873</v>
      </c>
      <c r="AC42" s="447">
        <f t="shared" si="48"/>
        <v>5310784.7387895873</v>
      </c>
      <c r="AD42" s="447">
        <f t="shared" si="48"/>
        <v>5310784.7387895873</v>
      </c>
      <c r="AE42" s="447">
        <f t="shared" si="48"/>
        <v>5310784.7387895873</v>
      </c>
      <c r="AF42" s="447">
        <f t="shared" si="48"/>
        <v>5310784.7387895873</v>
      </c>
      <c r="AG42" s="447">
        <f t="shared" si="48"/>
        <v>5310784.7387895873</v>
      </c>
      <c r="AH42" s="447">
        <f t="shared" si="48"/>
        <v>5310784.7387895873</v>
      </c>
      <c r="AI42" s="447">
        <f t="shared" si="48"/>
        <v>5310784.7387895873</v>
      </c>
      <c r="AJ42" s="447">
        <f t="shared" si="48"/>
        <v>5310784.7387895873</v>
      </c>
      <c r="AK42" s="447">
        <f t="shared" si="48"/>
        <v>5310784.7387895873</v>
      </c>
      <c r="AL42" s="447">
        <f t="shared" si="48"/>
        <v>5310784.7387895873</v>
      </c>
      <c r="AM42" s="447">
        <f t="shared" si="48"/>
        <v>5310784.7387895873</v>
      </c>
      <c r="AN42" s="447">
        <f t="shared" si="48"/>
        <v>5310784.7387895873</v>
      </c>
      <c r="AO42" s="447">
        <f t="shared" si="48"/>
        <v>5310784.7387895873</v>
      </c>
      <c r="AP42" s="447">
        <f t="shared" si="48"/>
        <v>5310784.7387895873</v>
      </c>
      <c r="AQ42" s="447">
        <f t="shared" si="48"/>
        <v>5310784.7387895873</v>
      </c>
      <c r="AR42" s="447">
        <f t="shared" si="48"/>
        <v>5310784.7387895873</v>
      </c>
      <c r="AS42" s="447">
        <f t="shared" si="48"/>
        <v>5310784.7387895873</v>
      </c>
      <c r="AT42" s="447">
        <f>$E$42*AT16</f>
        <v>5310784.7387895873</v>
      </c>
      <c r="AU42" s="448">
        <f t="shared" ref="AU42:CL42" si="49">$E$42*AU16</f>
        <v>5310784.7387895873</v>
      </c>
      <c r="AV42" s="448">
        <f t="shared" si="49"/>
        <v>5310784.7387895873</v>
      </c>
      <c r="AW42" s="448">
        <f t="shared" si="49"/>
        <v>5310784.7387895873</v>
      </c>
      <c r="AX42" s="448">
        <f t="shared" si="49"/>
        <v>5310784.7387895873</v>
      </c>
      <c r="AY42" s="448">
        <f t="shared" si="49"/>
        <v>5310784.7387895873</v>
      </c>
      <c r="AZ42" s="448">
        <f t="shared" si="49"/>
        <v>5310784.7387895873</v>
      </c>
      <c r="BA42" s="448">
        <f t="shared" si="49"/>
        <v>5310784.7387895873</v>
      </c>
      <c r="BB42" s="448">
        <f t="shared" si="49"/>
        <v>5310784.7387895873</v>
      </c>
      <c r="BC42" s="448">
        <f t="shared" si="49"/>
        <v>5310784.7387895873</v>
      </c>
      <c r="BD42" s="448">
        <f t="shared" si="49"/>
        <v>5310784.7387895873</v>
      </c>
      <c r="BE42" s="448">
        <f t="shared" si="49"/>
        <v>5310784.7387895873</v>
      </c>
      <c r="BF42" s="448">
        <f t="shared" si="49"/>
        <v>5310784.7387895873</v>
      </c>
      <c r="BG42" s="448">
        <f t="shared" si="49"/>
        <v>5310784.7387895873</v>
      </c>
      <c r="BH42" s="448">
        <f t="shared" si="49"/>
        <v>5310784.7387895873</v>
      </c>
      <c r="BI42" s="448">
        <f t="shared" si="49"/>
        <v>5310784.7387895873</v>
      </c>
      <c r="BJ42" s="448">
        <f t="shared" si="49"/>
        <v>5310784.7387895873</v>
      </c>
      <c r="BK42" s="448">
        <f t="shared" si="49"/>
        <v>5310784.7387895873</v>
      </c>
      <c r="BL42" s="448">
        <f t="shared" si="49"/>
        <v>5310784.7387895873</v>
      </c>
      <c r="BM42" s="448">
        <f t="shared" si="49"/>
        <v>5310784.7387895873</v>
      </c>
      <c r="BN42" s="448">
        <f t="shared" si="49"/>
        <v>5310784.7387895873</v>
      </c>
      <c r="BO42" s="448">
        <f t="shared" si="49"/>
        <v>5310784.7387895873</v>
      </c>
      <c r="BP42" s="448">
        <f t="shared" si="49"/>
        <v>5310784.7387895873</v>
      </c>
      <c r="BQ42" s="448">
        <f t="shared" si="49"/>
        <v>5310784.7387895873</v>
      </c>
      <c r="BR42" s="448">
        <f t="shared" si="49"/>
        <v>5310784.7387895873</v>
      </c>
      <c r="BS42" s="448">
        <f t="shared" si="49"/>
        <v>5310784.7387895873</v>
      </c>
      <c r="BT42" s="448">
        <f t="shared" si="49"/>
        <v>5310784.7387895873</v>
      </c>
      <c r="BU42" s="448">
        <f t="shared" si="49"/>
        <v>5310784.7387895873</v>
      </c>
      <c r="BV42" s="448">
        <f t="shared" si="49"/>
        <v>5310784.7387895873</v>
      </c>
      <c r="BW42" s="448">
        <f t="shared" si="49"/>
        <v>5310784.7387895873</v>
      </c>
      <c r="BX42" s="448">
        <f t="shared" si="49"/>
        <v>5310784.7387895873</v>
      </c>
      <c r="BY42" s="448">
        <f t="shared" si="49"/>
        <v>5310784.7387895873</v>
      </c>
      <c r="BZ42" s="448">
        <f t="shared" si="49"/>
        <v>5310784.7387895873</v>
      </c>
      <c r="CA42" s="448">
        <f t="shared" si="49"/>
        <v>5310784.7387895873</v>
      </c>
      <c r="CB42" s="448">
        <f t="shared" si="49"/>
        <v>5310784.7387895873</v>
      </c>
      <c r="CC42" s="448">
        <f t="shared" si="49"/>
        <v>5310784.7387895873</v>
      </c>
      <c r="CD42" s="448">
        <f t="shared" si="49"/>
        <v>5310784.7387895873</v>
      </c>
      <c r="CE42" s="448">
        <f t="shared" si="49"/>
        <v>5310784.7387895873</v>
      </c>
      <c r="CF42" s="448">
        <f t="shared" si="49"/>
        <v>5310784.7387895873</v>
      </c>
      <c r="CG42" s="448">
        <f t="shared" si="49"/>
        <v>5310784.7387895873</v>
      </c>
      <c r="CH42" s="448">
        <f t="shared" si="49"/>
        <v>5310784.7387895873</v>
      </c>
      <c r="CI42" s="448">
        <f t="shared" si="49"/>
        <v>5310784.7387895873</v>
      </c>
      <c r="CJ42" s="448">
        <f t="shared" si="49"/>
        <v>5310784.7387895873</v>
      </c>
      <c r="CK42" s="448">
        <f t="shared" si="49"/>
        <v>5310784.7387895873</v>
      </c>
      <c r="CL42" s="448">
        <f t="shared" si="49"/>
        <v>5310784.7387895873</v>
      </c>
      <c r="CM42" s="319">
        <f t="shared" si="15"/>
        <v>5310784.7387895761</v>
      </c>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c r="EA42" s="58"/>
      <c r="EB42" s="58"/>
      <c r="EC42" s="58"/>
      <c r="ED42" s="58"/>
      <c r="EE42" s="58"/>
      <c r="EF42" s="58"/>
      <c r="EG42" s="58"/>
      <c r="EH42" s="58"/>
      <c r="EI42" s="58"/>
      <c r="EJ42" s="58"/>
      <c r="EK42" s="58"/>
      <c r="EL42" s="58"/>
      <c r="EM42" s="58"/>
      <c r="EN42" s="58"/>
      <c r="EO42" s="58"/>
      <c r="EP42" s="58"/>
      <c r="EQ42" s="58"/>
      <c r="ER42" s="58"/>
      <c r="ES42" s="58"/>
      <c r="ET42" s="58"/>
      <c r="EU42" s="58"/>
      <c r="EV42" s="58"/>
      <c r="EW42" s="58"/>
      <c r="EX42" s="58"/>
      <c r="EY42" s="58"/>
      <c r="EZ42" s="58"/>
      <c r="FA42" s="58"/>
      <c r="FB42" s="58"/>
      <c r="FC42" s="58"/>
      <c r="FD42" s="58"/>
      <c r="FE42" s="58"/>
      <c r="FF42" s="58"/>
      <c r="FG42" s="58"/>
      <c r="FH42" s="58"/>
      <c r="FI42" s="58"/>
      <c r="FJ42" s="58"/>
      <c r="FK42" s="58"/>
      <c r="FL42" s="58"/>
      <c r="FM42" s="58"/>
      <c r="FN42" s="58"/>
      <c r="FO42" s="58"/>
      <c r="FP42" s="58"/>
      <c r="FQ42" s="58"/>
      <c r="FR42" s="58"/>
      <c r="FS42" s="58"/>
      <c r="FT42" s="58"/>
      <c r="FU42" s="58"/>
      <c r="FV42" s="58"/>
      <c r="FW42" s="313"/>
    </row>
    <row r="43" spans="1:179">
      <c r="A43" s="1058"/>
      <c r="B43" s="224" t="s">
        <v>307</v>
      </c>
      <c r="C43" s="367" t="s">
        <v>326</v>
      </c>
      <c r="D43" s="362"/>
      <c r="E43" s="75">
        <v>113.95</v>
      </c>
      <c r="F43" s="413" t="s">
        <v>330</v>
      </c>
      <c r="G43" s="449">
        <f t="shared" ref="G43:AS43" si="50">$E$43*G16</f>
        <v>10430888.041666668</v>
      </c>
      <c r="H43" s="449">
        <f t="shared" si="50"/>
        <v>10430888.041666668</v>
      </c>
      <c r="I43" s="449">
        <f t="shared" si="50"/>
        <v>10430888.041666668</v>
      </c>
      <c r="J43" s="449">
        <f t="shared" si="50"/>
        <v>10430888.041666668</v>
      </c>
      <c r="K43" s="449">
        <f t="shared" si="50"/>
        <v>10430888.041666668</v>
      </c>
      <c r="L43" s="449">
        <f t="shared" si="50"/>
        <v>10430888.041666668</v>
      </c>
      <c r="M43" s="449">
        <f t="shared" si="50"/>
        <v>10430888.041666668</v>
      </c>
      <c r="N43" s="449">
        <f t="shared" si="50"/>
        <v>10430888.041666668</v>
      </c>
      <c r="O43" s="449">
        <f t="shared" si="50"/>
        <v>10430888.041666668</v>
      </c>
      <c r="P43" s="449">
        <f t="shared" si="50"/>
        <v>10430888.041666668</v>
      </c>
      <c r="Q43" s="449">
        <f t="shared" si="50"/>
        <v>10430888.041666668</v>
      </c>
      <c r="R43" s="449">
        <f t="shared" si="50"/>
        <v>10430888.041666668</v>
      </c>
      <c r="S43" s="449">
        <f t="shared" si="50"/>
        <v>10430888.041666668</v>
      </c>
      <c r="T43" s="449">
        <f t="shared" si="50"/>
        <v>10430888.041666668</v>
      </c>
      <c r="U43" s="449">
        <f t="shared" si="50"/>
        <v>10430888.041666668</v>
      </c>
      <c r="V43" s="449">
        <f t="shared" si="50"/>
        <v>10430888.041666668</v>
      </c>
      <c r="W43" s="449">
        <f t="shared" si="50"/>
        <v>10430888.041666668</v>
      </c>
      <c r="X43" s="449">
        <f t="shared" si="50"/>
        <v>10430888.041666668</v>
      </c>
      <c r="Y43" s="449">
        <f t="shared" si="50"/>
        <v>10430888.041666668</v>
      </c>
      <c r="Z43" s="449">
        <f t="shared" si="50"/>
        <v>10430888.041666668</v>
      </c>
      <c r="AA43" s="449">
        <f t="shared" si="50"/>
        <v>10430888.041666668</v>
      </c>
      <c r="AB43" s="449">
        <f t="shared" si="50"/>
        <v>10430888.041666668</v>
      </c>
      <c r="AC43" s="449">
        <f t="shared" si="50"/>
        <v>10430888.041666668</v>
      </c>
      <c r="AD43" s="449">
        <f t="shared" si="50"/>
        <v>10430888.041666668</v>
      </c>
      <c r="AE43" s="449">
        <f t="shared" si="50"/>
        <v>10430888.041666668</v>
      </c>
      <c r="AF43" s="449">
        <f t="shared" si="50"/>
        <v>10430888.041666668</v>
      </c>
      <c r="AG43" s="449">
        <f t="shared" si="50"/>
        <v>10430888.041666668</v>
      </c>
      <c r="AH43" s="449">
        <f t="shared" si="50"/>
        <v>10430888.041666668</v>
      </c>
      <c r="AI43" s="449">
        <f t="shared" si="50"/>
        <v>10430888.041666668</v>
      </c>
      <c r="AJ43" s="449">
        <f t="shared" si="50"/>
        <v>10430888.041666668</v>
      </c>
      <c r="AK43" s="449">
        <f t="shared" si="50"/>
        <v>10430888.041666668</v>
      </c>
      <c r="AL43" s="449">
        <f t="shared" si="50"/>
        <v>10430888.041666668</v>
      </c>
      <c r="AM43" s="449">
        <f t="shared" si="50"/>
        <v>10430888.041666668</v>
      </c>
      <c r="AN43" s="449">
        <f t="shared" si="50"/>
        <v>10430888.041666668</v>
      </c>
      <c r="AO43" s="449">
        <f t="shared" si="50"/>
        <v>10430888.041666668</v>
      </c>
      <c r="AP43" s="449">
        <f t="shared" si="50"/>
        <v>10430888.041666668</v>
      </c>
      <c r="AQ43" s="449">
        <f t="shared" si="50"/>
        <v>10430888.041666668</v>
      </c>
      <c r="AR43" s="449">
        <f t="shared" si="50"/>
        <v>10430888.041666668</v>
      </c>
      <c r="AS43" s="449">
        <f t="shared" si="50"/>
        <v>10430888.041666668</v>
      </c>
      <c r="AT43" s="449">
        <f>$E$43*AT16</f>
        <v>10430888.041666668</v>
      </c>
      <c r="AU43" s="450">
        <f t="shared" ref="AU43:CL43" si="51">$E$43*AU16</f>
        <v>10430888.041666668</v>
      </c>
      <c r="AV43" s="450">
        <f t="shared" si="51"/>
        <v>10430888.041666668</v>
      </c>
      <c r="AW43" s="450">
        <f t="shared" si="51"/>
        <v>10430888.041666668</v>
      </c>
      <c r="AX43" s="450">
        <f t="shared" si="51"/>
        <v>10430888.041666668</v>
      </c>
      <c r="AY43" s="450">
        <f t="shared" si="51"/>
        <v>10430888.041666668</v>
      </c>
      <c r="AZ43" s="450">
        <f t="shared" si="51"/>
        <v>10430888.041666668</v>
      </c>
      <c r="BA43" s="450">
        <f t="shared" si="51"/>
        <v>10430888.041666668</v>
      </c>
      <c r="BB43" s="450">
        <f t="shared" si="51"/>
        <v>10430888.041666668</v>
      </c>
      <c r="BC43" s="450">
        <f t="shared" si="51"/>
        <v>10430888.041666668</v>
      </c>
      <c r="BD43" s="450">
        <f t="shared" si="51"/>
        <v>10430888.041666668</v>
      </c>
      <c r="BE43" s="450">
        <f t="shared" si="51"/>
        <v>10430888.041666668</v>
      </c>
      <c r="BF43" s="450">
        <f t="shared" si="51"/>
        <v>10430888.041666668</v>
      </c>
      <c r="BG43" s="450">
        <f t="shared" si="51"/>
        <v>10430888.041666668</v>
      </c>
      <c r="BH43" s="450">
        <f t="shared" si="51"/>
        <v>10430888.041666668</v>
      </c>
      <c r="BI43" s="450">
        <f t="shared" si="51"/>
        <v>10430888.041666668</v>
      </c>
      <c r="BJ43" s="450">
        <f t="shared" si="51"/>
        <v>10430888.041666668</v>
      </c>
      <c r="BK43" s="450">
        <f t="shared" si="51"/>
        <v>10430888.041666668</v>
      </c>
      <c r="BL43" s="450">
        <f t="shared" si="51"/>
        <v>10430888.041666668</v>
      </c>
      <c r="BM43" s="450">
        <f t="shared" si="51"/>
        <v>10430888.041666668</v>
      </c>
      <c r="BN43" s="450">
        <f t="shared" si="51"/>
        <v>10430888.041666668</v>
      </c>
      <c r="BO43" s="450">
        <f t="shared" si="51"/>
        <v>10430888.041666668</v>
      </c>
      <c r="BP43" s="450">
        <f t="shared" si="51"/>
        <v>10430888.041666668</v>
      </c>
      <c r="BQ43" s="450">
        <f t="shared" si="51"/>
        <v>10430888.041666668</v>
      </c>
      <c r="BR43" s="450">
        <f t="shared" si="51"/>
        <v>10430888.041666668</v>
      </c>
      <c r="BS43" s="450">
        <f t="shared" si="51"/>
        <v>10430888.041666668</v>
      </c>
      <c r="BT43" s="450">
        <f t="shared" si="51"/>
        <v>10430888.041666668</v>
      </c>
      <c r="BU43" s="450">
        <f t="shared" si="51"/>
        <v>10430888.041666668</v>
      </c>
      <c r="BV43" s="450">
        <f t="shared" si="51"/>
        <v>10430888.041666668</v>
      </c>
      <c r="BW43" s="450">
        <f t="shared" si="51"/>
        <v>10430888.041666668</v>
      </c>
      <c r="BX43" s="450">
        <f t="shared" si="51"/>
        <v>10430888.041666668</v>
      </c>
      <c r="BY43" s="450">
        <f t="shared" si="51"/>
        <v>10430888.041666668</v>
      </c>
      <c r="BZ43" s="450">
        <f t="shared" si="51"/>
        <v>10430888.041666668</v>
      </c>
      <c r="CA43" s="450">
        <f t="shared" si="51"/>
        <v>10430888.041666668</v>
      </c>
      <c r="CB43" s="450">
        <f t="shared" si="51"/>
        <v>10430888.041666668</v>
      </c>
      <c r="CC43" s="450">
        <f t="shared" si="51"/>
        <v>10430888.041666668</v>
      </c>
      <c r="CD43" s="450">
        <f t="shared" si="51"/>
        <v>10430888.041666668</v>
      </c>
      <c r="CE43" s="450">
        <f t="shared" si="51"/>
        <v>10430888.041666668</v>
      </c>
      <c r="CF43" s="450">
        <f t="shared" si="51"/>
        <v>10430888.041666668</v>
      </c>
      <c r="CG43" s="450">
        <f t="shared" si="51"/>
        <v>10430888.041666668</v>
      </c>
      <c r="CH43" s="450">
        <f t="shared" si="51"/>
        <v>10430888.041666668</v>
      </c>
      <c r="CI43" s="450">
        <f t="shared" si="51"/>
        <v>10430888.041666668</v>
      </c>
      <c r="CJ43" s="450">
        <f t="shared" si="51"/>
        <v>10430888.041666668</v>
      </c>
      <c r="CK43" s="450">
        <f t="shared" si="51"/>
        <v>10430888.041666668</v>
      </c>
      <c r="CL43" s="450">
        <f t="shared" si="51"/>
        <v>10430888.041666668</v>
      </c>
      <c r="CM43" s="319">
        <f t="shared" si="15"/>
        <v>10430888.041666657</v>
      </c>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c r="EA43" s="58"/>
      <c r="EB43" s="58"/>
      <c r="EC43" s="58"/>
      <c r="ED43" s="58"/>
      <c r="EE43" s="58"/>
      <c r="EF43" s="58"/>
      <c r="EG43" s="58"/>
      <c r="EH43" s="58"/>
      <c r="EI43" s="58"/>
      <c r="EJ43" s="58"/>
      <c r="EK43" s="58"/>
      <c r="EL43" s="58"/>
      <c r="EM43" s="58"/>
      <c r="EN43" s="58"/>
      <c r="EO43" s="58"/>
      <c r="EP43" s="58"/>
      <c r="EQ43" s="58"/>
      <c r="ER43" s="58"/>
      <c r="ES43" s="58"/>
      <c r="ET43" s="58"/>
      <c r="EU43" s="58"/>
      <c r="EV43" s="58"/>
      <c r="EW43" s="58"/>
      <c r="EX43" s="58"/>
      <c r="EY43" s="58"/>
      <c r="EZ43" s="58"/>
      <c r="FA43" s="58"/>
      <c r="FB43" s="58"/>
      <c r="FC43" s="58"/>
      <c r="FD43" s="58"/>
      <c r="FE43" s="58"/>
      <c r="FF43" s="58"/>
      <c r="FG43" s="58"/>
      <c r="FH43" s="58"/>
      <c r="FI43" s="58"/>
      <c r="FJ43" s="58"/>
      <c r="FK43" s="58"/>
      <c r="FL43" s="58"/>
      <c r="FM43" s="58"/>
      <c r="FN43" s="58"/>
      <c r="FO43" s="58"/>
      <c r="FP43" s="58"/>
      <c r="FQ43" s="58"/>
      <c r="FR43" s="58"/>
      <c r="FS43" s="58"/>
      <c r="FT43" s="58"/>
      <c r="FU43" s="58"/>
      <c r="FV43" s="58"/>
    </row>
    <row r="44" spans="1:179" ht="17.25" customHeight="1">
      <c r="A44" s="451" t="s">
        <v>31</v>
      </c>
      <c r="B44" s="452" t="s">
        <v>307</v>
      </c>
      <c r="C44" s="451" t="s">
        <v>326</v>
      </c>
      <c r="D44" s="451"/>
      <c r="E44" s="453">
        <v>7924</v>
      </c>
      <c r="F44" s="454" t="s">
        <v>331</v>
      </c>
      <c r="G44" s="455">
        <f t="shared" ref="G44:AS44" si="52">7924*G16</f>
        <v>725356356.66666675</v>
      </c>
      <c r="H44" s="455">
        <f t="shared" si="52"/>
        <v>725356356.66666675</v>
      </c>
      <c r="I44" s="455">
        <f t="shared" si="52"/>
        <v>725356356.66666675</v>
      </c>
      <c r="J44" s="455">
        <f t="shared" si="52"/>
        <v>725356356.66666675</v>
      </c>
      <c r="K44" s="455">
        <f t="shared" si="52"/>
        <v>725356356.66666675</v>
      </c>
      <c r="L44" s="455">
        <f t="shared" si="52"/>
        <v>725356356.66666675</v>
      </c>
      <c r="M44" s="455">
        <f t="shared" si="52"/>
        <v>725356356.66666675</v>
      </c>
      <c r="N44" s="455">
        <f t="shared" si="52"/>
        <v>725356356.66666675</v>
      </c>
      <c r="O44" s="455">
        <f t="shared" si="52"/>
        <v>725356356.66666675</v>
      </c>
      <c r="P44" s="455">
        <f t="shared" si="52"/>
        <v>725356356.66666675</v>
      </c>
      <c r="Q44" s="455">
        <f t="shared" si="52"/>
        <v>725356356.66666675</v>
      </c>
      <c r="R44" s="455">
        <f t="shared" si="52"/>
        <v>725356356.66666675</v>
      </c>
      <c r="S44" s="455">
        <f t="shared" si="52"/>
        <v>725356356.66666675</v>
      </c>
      <c r="T44" s="455">
        <f t="shared" si="52"/>
        <v>725356356.66666675</v>
      </c>
      <c r="U44" s="455">
        <f t="shared" si="52"/>
        <v>725356356.66666675</v>
      </c>
      <c r="V44" s="455">
        <f t="shared" si="52"/>
        <v>725356356.66666675</v>
      </c>
      <c r="W44" s="455">
        <f t="shared" si="52"/>
        <v>725356356.66666675</v>
      </c>
      <c r="X44" s="455">
        <f t="shared" si="52"/>
        <v>725356356.66666675</v>
      </c>
      <c r="Y44" s="455">
        <f t="shared" si="52"/>
        <v>725356356.66666675</v>
      </c>
      <c r="Z44" s="455">
        <f t="shared" si="52"/>
        <v>725356356.66666675</v>
      </c>
      <c r="AA44" s="455">
        <f t="shared" si="52"/>
        <v>725356356.66666675</v>
      </c>
      <c r="AB44" s="455">
        <f t="shared" si="52"/>
        <v>725356356.66666675</v>
      </c>
      <c r="AC44" s="455">
        <f t="shared" si="52"/>
        <v>725356356.66666675</v>
      </c>
      <c r="AD44" s="455">
        <f t="shared" si="52"/>
        <v>725356356.66666675</v>
      </c>
      <c r="AE44" s="455">
        <f t="shared" si="52"/>
        <v>725356356.66666675</v>
      </c>
      <c r="AF44" s="455">
        <f t="shared" si="52"/>
        <v>725356356.66666675</v>
      </c>
      <c r="AG44" s="455">
        <f t="shared" si="52"/>
        <v>725356356.66666675</v>
      </c>
      <c r="AH44" s="455">
        <f t="shared" si="52"/>
        <v>725356356.66666675</v>
      </c>
      <c r="AI44" s="455">
        <f t="shared" si="52"/>
        <v>725356356.66666675</v>
      </c>
      <c r="AJ44" s="455">
        <f t="shared" si="52"/>
        <v>725356356.66666675</v>
      </c>
      <c r="AK44" s="455">
        <f t="shared" si="52"/>
        <v>725356356.66666675</v>
      </c>
      <c r="AL44" s="455">
        <f t="shared" si="52"/>
        <v>725356356.66666675</v>
      </c>
      <c r="AM44" s="455">
        <f t="shared" si="52"/>
        <v>725356356.66666675</v>
      </c>
      <c r="AN44" s="455">
        <f t="shared" si="52"/>
        <v>725356356.66666675</v>
      </c>
      <c r="AO44" s="455">
        <f t="shared" si="52"/>
        <v>725356356.66666675</v>
      </c>
      <c r="AP44" s="455">
        <f t="shared" si="52"/>
        <v>725356356.66666675</v>
      </c>
      <c r="AQ44" s="455">
        <f t="shared" si="52"/>
        <v>725356356.66666675</v>
      </c>
      <c r="AR44" s="455">
        <f t="shared" si="52"/>
        <v>725356356.66666675</v>
      </c>
      <c r="AS44" s="455">
        <f t="shared" si="52"/>
        <v>725356356.66666675</v>
      </c>
      <c r="AT44" s="455">
        <f>7924*AT16</f>
        <v>725356356.66666675</v>
      </c>
      <c r="AU44" s="456">
        <f t="shared" ref="AU44:CL44" si="53">7924*AU16</f>
        <v>725356356.66666675</v>
      </c>
      <c r="AV44" s="456">
        <f t="shared" si="53"/>
        <v>725356356.66666675</v>
      </c>
      <c r="AW44" s="456">
        <f t="shared" si="53"/>
        <v>725356356.66666675</v>
      </c>
      <c r="AX44" s="456">
        <f t="shared" si="53"/>
        <v>725356356.66666675</v>
      </c>
      <c r="AY44" s="456">
        <f t="shared" si="53"/>
        <v>725356356.66666675</v>
      </c>
      <c r="AZ44" s="456">
        <f t="shared" si="53"/>
        <v>725356356.66666675</v>
      </c>
      <c r="BA44" s="456">
        <f t="shared" si="53"/>
        <v>725356356.66666675</v>
      </c>
      <c r="BB44" s="456">
        <f t="shared" si="53"/>
        <v>725356356.66666675</v>
      </c>
      <c r="BC44" s="456">
        <f t="shared" si="53"/>
        <v>725356356.66666675</v>
      </c>
      <c r="BD44" s="456">
        <f t="shared" si="53"/>
        <v>725356356.66666675</v>
      </c>
      <c r="BE44" s="456">
        <f t="shared" si="53"/>
        <v>725356356.66666675</v>
      </c>
      <c r="BF44" s="456">
        <f t="shared" si="53"/>
        <v>725356356.66666675</v>
      </c>
      <c r="BG44" s="456">
        <f t="shared" si="53"/>
        <v>725356356.66666675</v>
      </c>
      <c r="BH44" s="456">
        <f t="shared" si="53"/>
        <v>725356356.66666675</v>
      </c>
      <c r="BI44" s="456">
        <f t="shared" si="53"/>
        <v>725356356.66666675</v>
      </c>
      <c r="BJ44" s="456">
        <f t="shared" si="53"/>
        <v>725356356.66666675</v>
      </c>
      <c r="BK44" s="456">
        <f t="shared" si="53"/>
        <v>725356356.66666675</v>
      </c>
      <c r="BL44" s="456">
        <f t="shared" si="53"/>
        <v>725356356.66666675</v>
      </c>
      <c r="BM44" s="456">
        <f t="shared" si="53"/>
        <v>725356356.66666675</v>
      </c>
      <c r="BN44" s="456">
        <f t="shared" si="53"/>
        <v>725356356.66666675</v>
      </c>
      <c r="BO44" s="456">
        <f t="shared" si="53"/>
        <v>725356356.66666675</v>
      </c>
      <c r="BP44" s="456">
        <f t="shared" si="53"/>
        <v>725356356.66666675</v>
      </c>
      <c r="BQ44" s="456">
        <f t="shared" si="53"/>
        <v>725356356.66666675</v>
      </c>
      <c r="BR44" s="456">
        <f t="shared" si="53"/>
        <v>725356356.66666675</v>
      </c>
      <c r="BS44" s="456">
        <f t="shared" si="53"/>
        <v>725356356.66666675</v>
      </c>
      <c r="BT44" s="456">
        <f t="shared" si="53"/>
        <v>725356356.66666675</v>
      </c>
      <c r="BU44" s="456">
        <f t="shared" si="53"/>
        <v>725356356.66666675</v>
      </c>
      <c r="BV44" s="456">
        <f t="shared" si="53"/>
        <v>725356356.66666675</v>
      </c>
      <c r="BW44" s="456">
        <f t="shared" si="53"/>
        <v>725356356.66666675</v>
      </c>
      <c r="BX44" s="456">
        <f t="shared" si="53"/>
        <v>725356356.66666675</v>
      </c>
      <c r="BY44" s="456">
        <f t="shared" si="53"/>
        <v>725356356.66666675</v>
      </c>
      <c r="BZ44" s="456">
        <f t="shared" si="53"/>
        <v>725356356.66666675</v>
      </c>
      <c r="CA44" s="456">
        <f t="shared" si="53"/>
        <v>725356356.66666675</v>
      </c>
      <c r="CB44" s="456">
        <f t="shared" si="53"/>
        <v>725356356.66666675</v>
      </c>
      <c r="CC44" s="456">
        <f t="shared" si="53"/>
        <v>725356356.66666675</v>
      </c>
      <c r="CD44" s="456">
        <f t="shared" si="53"/>
        <v>725356356.66666675</v>
      </c>
      <c r="CE44" s="456">
        <f t="shared" si="53"/>
        <v>725356356.66666675</v>
      </c>
      <c r="CF44" s="456">
        <f t="shared" si="53"/>
        <v>725356356.66666675</v>
      </c>
      <c r="CG44" s="456">
        <f t="shared" si="53"/>
        <v>725356356.66666675</v>
      </c>
      <c r="CH44" s="456">
        <f t="shared" si="53"/>
        <v>725356356.66666675</v>
      </c>
      <c r="CI44" s="456">
        <f t="shared" si="53"/>
        <v>725356356.66666675</v>
      </c>
      <c r="CJ44" s="456">
        <f t="shared" si="53"/>
        <v>725356356.66666675</v>
      </c>
      <c r="CK44" s="456">
        <f t="shared" si="53"/>
        <v>725356356.66666675</v>
      </c>
      <c r="CL44" s="456">
        <f t="shared" si="53"/>
        <v>725356356.66666675</v>
      </c>
      <c r="CM44" s="319">
        <f t="shared" si="15"/>
        <v>725356356.66666579</v>
      </c>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c r="EA44" s="58"/>
      <c r="EB44" s="58"/>
      <c r="EC44" s="58"/>
      <c r="ED44" s="58"/>
      <c r="EE44" s="58"/>
      <c r="EF44" s="58"/>
      <c r="EG44" s="58"/>
      <c r="EH44" s="58"/>
      <c r="EI44" s="58"/>
      <c r="EJ44" s="58"/>
      <c r="EK44" s="58"/>
      <c r="EL44" s="58"/>
      <c r="EM44" s="58"/>
      <c r="EN44" s="58"/>
      <c r="EO44" s="58"/>
      <c r="EP44" s="58"/>
      <c r="EQ44" s="58"/>
      <c r="ER44" s="58"/>
      <c r="ES44" s="58"/>
      <c r="ET44" s="58"/>
      <c r="EU44" s="58"/>
      <c r="EV44" s="58"/>
      <c r="EW44" s="58"/>
      <c r="EX44" s="58"/>
      <c r="EY44" s="58"/>
      <c r="EZ44" s="58"/>
      <c r="FA44" s="58"/>
      <c r="FB44" s="58"/>
      <c r="FC44" s="58"/>
      <c r="FD44" s="58"/>
      <c r="FE44" s="58"/>
      <c r="FF44" s="58"/>
      <c r="FG44" s="58"/>
      <c r="FH44" s="58"/>
      <c r="FI44" s="58"/>
      <c r="FJ44" s="58"/>
      <c r="FK44" s="58"/>
      <c r="FL44" s="58"/>
      <c r="FM44" s="58"/>
      <c r="FN44" s="58"/>
      <c r="FO44" s="58"/>
      <c r="FP44" s="58"/>
      <c r="FQ44" s="58"/>
      <c r="FR44" s="58"/>
      <c r="FS44" s="58"/>
      <c r="FT44" s="58"/>
      <c r="FU44" s="58"/>
      <c r="FV44" s="58"/>
    </row>
    <row r="45" spans="1:179" s="314" customFormat="1" ht="20.25" customHeight="1">
      <c r="A45" s="457" t="s">
        <v>240</v>
      </c>
      <c r="B45" s="53" t="s">
        <v>307</v>
      </c>
      <c r="C45" s="457" t="s">
        <v>326</v>
      </c>
      <c r="D45" s="457"/>
      <c r="E45" s="57">
        <v>3131</v>
      </c>
      <c r="F45" s="368" t="s">
        <v>329</v>
      </c>
      <c r="G45" s="458">
        <f t="shared" ref="G45:AS45" si="54">3131*G16</f>
        <v>286609130.83333337</v>
      </c>
      <c r="H45" s="458">
        <f t="shared" si="54"/>
        <v>286609130.83333337</v>
      </c>
      <c r="I45" s="458">
        <f t="shared" si="54"/>
        <v>286609130.83333337</v>
      </c>
      <c r="J45" s="458">
        <f t="shared" si="54"/>
        <v>286609130.83333337</v>
      </c>
      <c r="K45" s="458">
        <f t="shared" si="54"/>
        <v>286609130.83333337</v>
      </c>
      <c r="L45" s="458">
        <f t="shared" si="54"/>
        <v>286609130.83333337</v>
      </c>
      <c r="M45" s="458">
        <f t="shared" si="54"/>
        <v>286609130.83333337</v>
      </c>
      <c r="N45" s="458">
        <f t="shared" si="54"/>
        <v>286609130.83333337</v>
      </c>
      <c r="O45" s="458">
        <f t="shared" si="54"/>
        <v>286609130.83333337</v>
      </c>
      <c r="P45" s="458">
        <f t="shared" si="54"/>
        <v>286609130.83333337</v>
      </c>
      <c r="Q45" s="458">
        <f t="shared" si="54"/>
        <v>286609130.83333337</v>
      </c>
      <c r="R45" s="458">
        <f t="shared" si="54"/>
        <v>286609130.83333337</v>
      </c>
      <c r="S45" s="458">
        <f t="shared" si="54"/>
        <v>286609130.83333337</v>
      </c>
      <c r="T45" s="458">
        <f t="shared" si="54"/>
        <v>286609130.83333337</v>
      </c>
      <c r="U45" s="458">
        <f t="shared" si="54"/>
        <v>286609130.83333337</v>
      </c>
      <c r="V45" s="458">
        <f t="shared" si="54"/>
        <v>286609130.83333337</v>
      </c>
      <c r="W45" s="458">
        <f t="shared" si="54"/>
        <v>286609130.83333337</v>
      </c>
      <c r="X45" s="458">
        <f t="shared" si="54"/>
        <v>286609130.83333337</v>
      </c>
      <c r="Y45" s="458">
        <f t="shared" si="54"/>
        <v>286609130.83333337</v>
      </c>
      <c r="Z45" s="458">
        <f t="shared" si="54"/>
        <v>286609130.83333337</v>
      </c>
      <c r="AA45" s="458">
        <f t="shared" si="54"/>
        <v>286609130.83333337</v>
      </c>
      <c r="AB45" s="458">
        <f t="shared" si="54"/>
        <v>286609130.83333337</v>
      </c>
      <c r="AC45" s="458">
        <f t="shared" si="54"/>
        <v>286609130.83333337</v>
      </c>
      <c r="AD45" s="458">
        <f t="shared" si="54"/>
        <v>286609130.83333337</v>
      </c>
      <c r="AE45" s="458">
        <f t="shared" si="54"/>
        <v>286609130.83333337</v>
      </c>
      <c r="AF45" s="458">
        <f t="shared" si="54"/>
        <v>286609130.83333337</v>
      </c>
      <c r="AG45" s="458">
        <f t="shared" si="54"/>
        <v>286609130.83333337</v>
      </c>
      <c r="AH45" s="458">
        <f t="shared" si="54"/>
        <v>286609130.83333337</v>
      </c>
      <c r="AI45" s="458">
        <f t="shared" si="54"/>
        <v>286609130.83333337</v>
      </c>
      <c r="AJ45" s="458">
        <f t="shared" si="54"/>
        <v>286609130.83333337</v>
      </c>
      <c r="AK45" s="458">
        <f t="shared" si="54"/>
        <v>286609130.83333337</v>
      </c>
      <c r="AL45" s="458">
        <f t="shared" si="54"/>
        <v>286609130.83333337</v>
      </c>
      <c r="AM45" s="458">
        <f t="shared" si="54"/>
        <v>286609130.83333337</v>
      </c>
      <c r="AN45" s="458">
        <f t="shared" si="54"/>
        <v>286609130.83333337</v>
      </c>
      <c r="AO45" s="458">
        <f t="shared" si="54"/>
        <v>286609130.83333337</v>
      </c>
      <c r="AP45" s="458">
        <f t="shared" si="54"/>
        <v>286609130.83333337</v>
      </c>
      <c r="AQ45" s="458">
        <f t="shared" si="54"/>
        <v>286609130.83333337</v>
      </c>
      <c r="AR45" s="458">
        <f t="shared" si="54"/>
        <v>286609130.83333337</v>
      </c>
      <c r="AS45" s="458">
        <f t="shared" si="54"/>
        <v>286609130.83333337</v>
      </c>
      <c r="AT45" s="458">
        <f>3131*AT16</f>
        <v>286609130.83333337</v>
      </c>
      <c r="AU45" s="459">
        <f t="shared" ref="AU45:CL45" si="55">3131*AU16</f>
        <v>286609130.83333337</v>
      </c>
      <c r="AV45" s="459">
        <f t="shared" si="55"/>
        <v>286609130.83333337</v>
      </c>
      <c r="AW45" s="459">
        <f t="shared" si="55"/>
        <v>286609130.83333337</v>
      </c>
      <c r="AX45" s="459">
        <f t="shared" si="55"/>
        <v>286609130.83333337</v>
      </c>
      <c r="AY45" s="459">
        <f t="shared" si="55"/>
        <v>286609130.83333337</v>
      </c>
      <c r="AZ45" s="459">
        <f t="shared" si="55"/>
        <v>286609130.83333337</v>
      </c>
      <c r="BA45" s="459">
        <f t="shared" si="55"/>
        <v>286609130.83333337</v>
      </c>
      <c r="BB45" s="459">
        <f t="shared" si="55"/>
        <v>286609130.83333337</v>
      </c>
      <c r="BC45" s="459">
        <f t="shared" si="55"/>
        <v>286609130.83333337</v>
      </c>
      <c r="BD45" s="459">
        <f t="shared" si="55"/>
        <v>286609130.83333337</v>
      </c>
      <c r="BE45" s="459">
        <f t="shared" si="55"/>
        <v>286609130.83333337</v>
      </c>
      <c r="BF45" s="459">
        <f t="shared" si="55"/>
        <v>286609130.83333337</v>
      </c>
      <c r="BG45" s="459">
        <f t="shared" si="55"/>
        <v>286609130.83333337</v>
      </c>
      <c r="BH45" s="459">
        <f t="shared" si="55"/>
        <v>286609130.83333337</v>
      </c>
      <c r="BI45" s="459">
        <f t="shared" si="55"/>
        <v>286609130.83333337</v>
      </c>
      <c r="BJ45" s="459">
        <f t="shared" si="55"/>
        <v>286609130.83333337</v>
      </c>
      <c r="BK45" s="459">
        <f t="shared" si="55"/>
        <v>286609130.83333337</v>
      </c>
      <c r="BL45" s="459">
        <f t="shared" si="55"/>
        <v>286609130.83333337</v>
      </c>
      <c r="BM45" s="459">
        <f t="shared" si="55"/>
        <v>286609130.83333337</v>
      </c>
      <c r="BN45" s="459">
        <f t="shared" si="55"/>
        <v>286609130.83333337</v>
      </c>
      <c r="BO45" s="459">
        <f t="shared" si="55"/>
        <v>286609130.83333337</v>
      </c>
      <c r="BP45" s="459">
        <f t="shared" si="55"/>
        <v>286609130.83333337</v>
      </c>
      <c r="BQ45" s="459">
        <f t="shared" si="55"/>
        <v>286609130.83333337</v>
      </c>
      <c r="BR45" s="459">
        <f t="shared" si="55"/>
        <v>286609130.83333337</v>
      </c>
      <c r="BS45" s="459">
        <f t="shared" si="55"/>
        <v>286609130.83333337</v>
      </c>
      <c r="BT45" s="459">
        <f t="shared" si="55"/>
        <v>286609130.83333337</v>
      </c>
      <c r="BU45" s="459">
        <f t="shared" si="55"/>
        <v>286609130.83333337</v>
      </c>
      <c r="BV45" s="459">
        <f t="shared" si="55"/>
        <v>286609130.83333337</v>
      </c>
      <c r="BW45" s="459">
        <f t="shared" si="55"/>
        <v>286609130.83333337</v>
      </c>
      <c r="BX45" s="459">
        <f t="shared" si="55"/>
        <v>286609130.83333337</v>
      </c>
      <c r="BY45" s="459">
        <f t="shared" si="55"/>
        <v>286609130.83333337</v>
      </c>
      <c r="BZ45" s="459">
        <f t="shared" si="55"/>
        <v>286609130.83333337</v>
      </c>
      <c r="CA45" s="459">
        <f t="shared" si="55"/>
        <v>286609130.83333337</v>
      </c>
      <c r="CB45" s="459">
        <f t="shared" si="55"/>
        <v>286609130.83333337</v>
      </c>
      <c r="CC45" s="459">
        <f t="shared" si="55"/>
        <v>286609130.83333337</v>
      </c>
      <c r="CD45" s="459">
        <f t="shared" si="55"/>
        <v>286609130.83333337</v>
      </c>
      <c r="CE45" s="459">
        <f t="shared" si="55"/>
        <v>286609130.83333337</v>
      </c>
      <c r="CF45" s="459">
        <f t="shared" si="55"/>
        <v>286609130.83333337</v>
      </c>
      <c r="CG45" s="459">
        <f t="shared" si="55"/>
        <v>286609130.83333337</v>
      </c>
      <c r="CH45" s="459">
        <f t="shared" si="55"/>
        <v>286609130.83333337</v>
      </c>
      <c r="CI45" s="459">
        <f t="shared" si="55"/>
        <v>286609130.83333337</v>
      </c>
      <c r="CJ45" s="459">
        <f t="shared" si="55"/>
        <v>286609130.83333337</v>
      </c>
      <c r="CK45" s="459">
        <f t="shared" si="55"/>
        <v>286609130.83333337</v>
      </c>
      <c r="CL45" s="459">
        <f t="shared" si="55"/>
        <v>286609130.83333337</v>
      </c>
      <c r="CM45" s="319">
        <f t="shared" si="15"/>
        <v>286609130.83333313</v>
      </c>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c r="ET45" s="17"/>
      <c r="EU45" s="17"/>
      <c r="EV45" s="17"/>
      <c r="EW45" s="17"/>
      <c r="EX45" s="17"/>
      <c r="EY45" s="17"/>
      <c r="EZ45" s="17"/>
      <c r="FA45" s="17"/>
      <c r="FB45" s="17"/>
      <c r="FC45" s="17"/>
      <c r="FD45" s="17"/>
      <c r="FE45" s="17"/>
      <c r="FF45" s="17"/>
      <c r="FG45" s="17"/>
      <c r="FH45" s="17"/>
      <c r="FI45" s="17"/>
      <c r="FJ45" s="17"/>
      <c r="FK45" s="17"/>
      <c r="FL45" s="17"/>
      <c r="FM45" s="17"/>
      <c r="FN45" s="17"/>
      <c r="FO45" s="17"/>
      <c r="FP45" s="17"/>
      <c r="FQ45" s="17"/>
      <c r="FR45" s="17"/>
      <c r="FS45" s="17"/>
      <c r="FT45" s="17"/>
      <c r="FU45" s="17"/>
      <c r="FV45" s="17"/>
    </row>
    <row r="46" spans="1:179" s="314" customFormat="1">
      <c r="A46" s="460" t="s">
        <v>332</v>
      </c>
      <c r="B46" s="180" t="s">
        <v>312</v>
      </c>
      <c r="C46" s="460" t="s">
        <v>326</v>
      </c>
      <c r="D46" s="460"/>
      <c r="E46" s="461"/>
      <c r="F46" s="375" t="s">
        <v>149</v>
      </c>
      <c r="G46" s="462">
        <f t="shared" ref="G46:BR47" si="56">G12*G2</f>
        <v>1212666666.6666667</v>
      </c>
      <c r="H46" s="462">
        <f t="shared" si="56"/>
        <v>1181458333.3333335</v>
      </c>
      <c r="I46" s="462">
        <f t="shared" si="56"/>
        <v>985291666.66666675</v>
      </c>
      <c r="J46" s="462">
        <f t="shared" si="56"/>
        <v>927333333.33333337</v>
      </c>
      <c r="K46" s="462">
        <f t="shared" si="56"/>
        <v>940708333.33333337</v>
      </c>
      <c r="L46" s="462">
        <f t="shared" si="56"/>
        <v>969687500</v>
      </c>
      <c r="M46" s="462">
        <f t="shared" si="56"/>
        <v>949625000</v>
      </c>
      <c r="N46" s="462">
        <f t="shared" si="56"/>
        <v>935804166.66666675</v>
      </c>
      <c r="O46" s="462">
        <f t="shared" si="56"/>
        <v>920645833.33333337</v>
      </c>
      <c r="P46" s="462">
        <f t="shared" si="56"/>
        <v>906379166.66666675</v>
      </c>
      <c r="Q46" s="462">
        <f t="shared" si="56"/>
        <v>896125000</v>
      </c>
      <c r="R46" s="462">
        <f t="shared" si="56"/>
        <v>867145833.33333337</v>
      </c>
      <c r="S46" s="462">
        <f t="shared" si="56"/>
        <v>907716666.66666675</v>
      </c>
      <c r="T46" s="462">
        <f t="shared" si="56"/>
        <v>884845416.66666675</v>
      </c>
      <c r="U46" s="462">
        <f t="shared" si="56"/>
        <v>849624583.33333337</v>
      </c>
      <c r="V46" s="462">
        <f t="shared" si="56"/>
        <v>983686666.66666675</v>
      </c>
      <c r="W46" s="462">
        <f t="shared" si="56"/>
        <v>942937500</v>
      </c>
      <c r="X46" s="462">
        <f t="shared" si="56"/>
        <v>839860833.33333337</v>
      </c>
      <c r="Y46" s="462">
        <f t="shared" si="56"/>
        <v>538432916.66666675</v>
      </c>
      <c r="Z46" s="462">
        <f t="shared" si="56"/>
        <v>619886666.66666675</v>
      </c>
      <c r="AA46" s="462">
        <f t="shared" si="56"/>
        <v>589659166.66666675</v>
      </c>
      <c r="AB46" s="462">
        <f t="shared" si="56"/>
        <v>589882083.33333337</v>
      </c>
      <c r="AC46" s="462">
        <f t="shared" si="56"/>
        <v>665272500</v>
      </c>
      <c r="AD46" s="462">
        <f t="shared" si="56"/>
        <v>628981666.66666675</v>
      </c>
      <c r="AE46" s="462">
        <f t="shared" si="56"/>
        <v>492378333.33333337</v>
      </c>
      <c r="AF46" s="462">
        <f t="shared" si="56"/>
        <v>680832083.33333337</v>
      </c>
      <c r="AG46" s="462">
        <f t="shared" si="56"/>
        <v>678157083.33333337</v>
      </c>
      <c r="AH46" s="462">
        <f t="shared" si="56"/>
        <v>802232500</v>
      </c>
      <c r="AI46" s="462">
        <f t="shared" si="56"/>
        <v>862865833.33333337</v>
      </c>
      <c r="AJ46" s="462">
        <f t="shared" si="56"/>
        <v>1048689166.6666667</v>
      </c>
      <c r="AK46" s="462">
        <f t="shared" si="56"/>
        <v>1072006250</v>
      </c>
      <c r="AL46" s="462">
        <f t="shared" si="56"/>
        <v>907805833.33333337</v>
      </c>
      <c r="AM46" s="462">
        <f t="shared" si="56"/>
        <v>867547083.33333337</v>
      </c>
      <c r="AN46" s="462">
        <f t="shared" si="56"/>
        <v>910079583.33333337</v>
      </c>
      <c r="AO46" s="462">
        <f t="shared" si="56"/>
        <v>678825833.33333337</v>
      </c>
      <c r="AP46" s="462">
        <f t="shared" si="56"/>
        <v>752432916.66666675</v>
      </c>
      <c r="AQ46" s="462">
        <f t="shared" si="56"/>
        <v>1285515833.3333335</v>
      </c>
      <c r="AR46" s="462">
        <f t="shared" si="56"/>
        <v>1296305000</v>
      </c>
      <c r="AS46" s="462">
        <f t="shared" si="56"/>
        <v>1334691250</v>
      </c>
      <c r="AT46" s="462">
        <f t="shared" si="56"/>
        <v>1292690396.3083804</v>
      </c>
      <c r="AU46" s="373">
        <f t="shared" si="56"/>
        <v>1296641067.3106651</v>
      </c>
      <c r="AV46" s="373">
        <f t="shared" si="56"/>
        <v>1532173338.1395116</v>
      </c>
      <c r="AW46" s="373">
        <f t="shared" si="56"/>
        <v>1496254150.8141825</v>
      </c>
      <c r="AX46" s="373">
        <f t="shared" si="56"/>
        <v>1168925986.0497689</v>
      </c>
      <c r="AY46" s="373">
        <f t="shared" si="56"/>
        <v>1604793807.6539898</v>
      </c>
      <c r="AZ46" s="373">
        <f t="shared" si="56"/>
        <v>1802377908.8007834</v>
      </c>
      <c r="BA46" s="373">
        <f t="shared" si="56"/>
        <v>1863693500.6598425</v>
      </c>
      <c r="BB46" s="373">
        <f t="shared" si="56"/>
        <v>1877565304.2229166</v>
      </c>
      <c r="BC46" s="373">
        <f t="shared" si="56"/>
        <v>1158998713.7433736</v>
      </c>
      <c r="BD46" s="373">
        <f t="shared" si="56"/>
        <v>1035812360.8531975</v>
      </c>
      <c r="BE46" s="373">
        <f t="shared" si="56"/>
        <v>1037125942.8184189</v>
      </c>
      <c r="BF46" s="373">
        <f t="shared" si="56"/>
        <v>1065886261.6355003</v>
      </c>
      <c r="BG46" s="373">
        <f t="shared" si="56"/>
        <v>1039592528.7970836</v>
      </c>
      <c r="BH46" s="373">
        <f t="shared" si="56"/>
        <v>1042497379.1678526</v>
      </c>
      <c r="BI46" s="373">
        <f t="shared" si="56"/>
        <v>1099034727.8142023</v>
      </c>
      <c r="BJ46" s="373">
        <f t="shared" si="56"/>
        <v>1094874182.4147015</v>
      </c>
      <c r="BK46" s="373">
        <f t="shared" si="56"/>
        <v>1106981186.594187</v>
      </c>
      <c r="BL46" s="373">
        <f t="shared" si="56"/>
        <v>1117054599.4125757</v>
      </c>
      <c r="BM46" s="373">
        <f t="shared" si="56"/>
        <v>1149743088.0540311</v>
      </c>
      <c r="BN46" s="373">
        <f t="shared" si="56"/>
        <v>1098677363.7260237</v>
      </c>
      <c r="BO46" s="373">
        <f t="shared" si="56"/>
        <v>1023306863.619548</v>
      </c>
      <c r="BP46" s="373">
        <f t="shared" si="56"/>
        <v>1023093377.5017582</v>
      </c>
      <c r="BQ46" s="373">
        <f t="shared" si="56"/>
        <v>1039560440.0055016</v>
      </c>
      <c r="BR46" s="373">
        <f t="shared" si="56"/>
        <v>1065121333.0644952</v>
      </c>
      <c r="BS46" s="373">
        <f t="shared" ref="BS46:CL47" si="57">BS12*BS2</f>
        <v>1080192212.4189627</v>
      </c>
      <c r="BT46" s="373">
        <f t="shared" si="57"/>
        <v>1049579862.841246</v>
      </c>
      <c r="BU46" s="373">
        <f t="shared" si="57"/>
        <v>920402492.55744255</v>
      </c>
      <c r="BV46" s="373">
        <f t="shared" si="57"/>
        <v>931359401.62730658</v>
      </c>
      <c r="BW46" s="373">
        <f t="shared" si="57"/>
        <v>952947954.6370331</v>
      </c>
      <c r="BX46" s="373">
        <f t="shared" si="57"/>
        <v>928395107.37601018</v>
      </c>
      <c r="BY46" s="373">
        <f t="shared" si="57"/>
        <v>947954493.38838518</v>
      </c>
      <c r="BZ46" s="373">
        <f t="shared" si="57"/>
        <v>980797086.24139035</v>
      </c>
      <c r="CA46" s="373">
        <f t="shared" si="57"/>
        <v>850256946.84575593</v>
      </c>
      <c r="CB46" s="373">
        <f t="shared" si="57"/>
        <v>821073992.16156292</v>
      </c>
      <c r="CC46" s="373">
        <f t="shared" si="57"/>
        <v>875232619.01713514</v>
      </c>
      <c r="CD46" s="373">
        <f t="shared" si="57"/>
        <v>840936513.1303941</v>
      </c>
      <c r="CE46" s="373">
        <f t="shared" si="57"/>
        <v>865698891.00787842</v>
      </c>
      <c r="CF46" s="373">
        <f t="shared" si="57"/>
        <v>872641977.21524823</v>
      </c>
      <c r="CG46" s="373">
        <f t="shared" si="57"/>
        <v>855169952.66125488</v>
      </c>
      <c r="CH46" s="373">
        <f t="shared" si="57"/>
        <v>866640324.55263591</v>
      </c>
      <c r="CI46" s="373">
        <f t="shared" si="57"/>
        <v>862674532.50002265</v>
      </c>
      <c r="CJ46" s="373">
        <f t="shared" si="57"/>
        <v>873209986.62794101</v>
      </c>
      <c r="CK46" s="373">
        <f t="shared" si="57"/>
        <v>841390712.82505786</v>
      </c>
      <c r="CL46" s="373">
        <f t="shared" si="57"/>
        <v>844836963.49685478</v>
      </c>
      <c r="CM46" s="319">
        <f t="shared" si="15"/>
        <v>995212975.18625402</v>
      </c>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17"/>
      <c r="FG46" s="17"/>
      <c r="FH46" s="17"/>
      <c r="FI46" s="17"/>
      <c r="FJ46" s="17"/>
      <c r="FK46" s="17"/>
      <c r="FL46" s="17"/>
      <c r="FM46" s="17"/>
      <c r="FN46" s="17"/>
      <c r="FO46" s="17"/>
      <c r="FP46" s="17"/>
      <c r="FQ46" s="17"/>
      <c r="FR46" s="17"/>
      <c r="FS46" s="17"/>
      <c r="FT46" s="17"/>
      <c r="FU46" s="17"/>
      <c r="FV46" s="17"/>
    </row>
    <row r="47" spans="1:179" s="314" customFormat="1">
      <c r="A47" s="460" t="s">
        <v>332</v>
      </c>
      <c r="B47" s="180" t="s">
        <v>312</v>
      </c>
      <c r="C47" s="460" t="s">
        <v>326</v>
      </c>
      <c r="D47" s="460"/>
      <c r="E47" s="461"/>
      <c r="F47" s="375" t="s">
        <v>0</v>
      </c>
      <c r="G47" s="462">
        <f t="shared" si="56"/>
        <v>906720833.33333325</v>
      </c>
      <c r="H47" s="462">
        <f t="shared" si="56"/>
        <v>887525000</v>
      </c>
      <c r="I47" s="462">
        <f t="shared" si="56"/>
        <v>779125000</v>
      </c>
      <c r="J47" s="462">
        <f t="shared" si="56"/>
        <v>750670000</v>
      </c>
      <c r="K47" s="462">
        <f t="shared" si="56"/>
        <v>739604166.66666663</v>
      </c>
      <c r="L47" s="462">
        <f t="shared" si="56"/>
        <v>747508333.33333325</v>
      </c>
      <c r="M47" s="462">
        <f t="shared" si="56"/>
        <v>737345833.33333325</v>
      </c>
      <c r="N47" s="462">
        <f t="shared" si="56"/>
        <v>729441666.66666663</v>
      </c>
      <c r="O47" s="462">
        <f t="shared" si="56"/>
        <v>679758333.33333325</v>
      </c>
      <c r="P47" s="462">
        <f t="shared" si="56"/>
        <v>668466666.66666663</v>
      </c>
      <c r="Q47" s="462">
        <f t="shared" si="56"/>
        <v>661691666.66666663</v>
      </c>
      <c r="R47" s="462">
        <f t="shared" si="56"/>
        <v>636850000</v>
      </c>
      <c r="S47" s="462">
        <f t="shared" si="56"/>
        <v>657852500</v>
      </c>
      <c r="T47" s="462">
        <f t="shared" si="56"/>
        <v>631881666.66666663</v>
      </c>
      <c r="U47" s="462">
        <f t="shared" si="56"/>
        <v>642495833.33333325</v>
      </c>
      <c r="V47" s="462">
        <f t="shared" si="56"/>
        <v>721311666.66666663</v>
      </c>
      <c r="W47" s="462">
        <f t="shared" si="56"/>
        <v>730796666.66666663</v>
      </c>
      <c r="X47" s="462">
        <f t="shared" si="56"/>
        <v>616525000</v>
      </c>
      <c r="Y47" s="462">
        <f t="shared" si="56"/>
        <v>529127500</v>
      </c>
      <c r="Z47" s="462">
        <f t="shared" si="56"/>
        <v>555550000</v>
      </c>
      <c r="AA47" s="462">
        <f t="shared" si="56"/>
        <v>544258333.33333325</v>
      </c>
      <c r="AB47" s="462">
        <f t="shared" si="56"/>
        <v>562325000</v>
      </c>
      <c r="AC47" s="462">
        <f t="shared" si="56"/>
        <v>523481666.66666663</v>
      </c>
      <c r="AD47" s="462">
        <f t="shared" si="56"/>
        <v>513770833.33333331</v>
      </c>
      <c r="AE47" s="462">
        <f t="shared" si="56"/>
        <v>482154166.66666663</v>
      </c>
      <c r="AF47" s="462">
        <f t="shared" si="56"/>
        <v>542451666.66666663</v>
      </c>
      <c r="AG47" s="462">
        <f t="shared" si="56"/>
        <v>611330833.33333325</v>
      </c>
      <c r="AH47" s="462">
        <f t="shared" si="56"/>
        <v>643625000</v>
      </c>
      <c r="AI47" s="462">
        <f t="shared" si="56"/>
        <v>691953333.33333325</v>
      </c>
      <c r="AJ47" s="462">
        <f t="shared" si="56"/>
        <v>756315833.33333325</v>
      </c>
      <c r="AK47" s="462">
        <f t="shared" si="56"/>
        <v>787932500</v>
      </c>
      <c r="AL47" s="462">
        <f t="shared" si="56"/>
        <v>728764166.66666663</v>
      </c>
      <c r="AM47" s="462">
        <f t="shared" si="56"/>
        <v>669595833.33333325</v>
      </c>
      <c r="AN47" s="462">
        <f t="shared" si="56"/>
        <v>640463333.33333325</v>
      </c>
      <c r="AO47" s="462">
        <f t="shared" si="56"/>
        <v>582198333.33333325</v>
      </c>
      <c r="AP47" s="462">
        <f t="shared" si="56"/>
        <v>650174166.66666663</v>
      </c>
      <c r="AQ47" s="462">
        <f t="shared" si="56"/>
        <v>852295000</v>
      </c>
      <c r="AR47" s="462">
        <f t="shared" si="56"/>
        <v>878717500</v>
      </c>
      <c r="AS47" s="462">
        <f t="shared" si="56"/>
        <v>885266666.66666663</v>
      </c>
      <c r="AT47" s="462">
        <f t="shared" si="56"/>
        <v>886796456.28109491</v>
      </c>
      <c r="AU47" s="373">
        <f t="shared" si="56"/>
        <v>797665755.09475279</v>
      </c>
      <c r="AV47" s="373">
        <f t="shared" si="56"/>
        <v>737179700.43866479</v>
      </c>
      <c r="AW47" s="373">
        <f t="shared" si="56"/>
        <v>736029537.94067085</v>
      </c>
      <c r="AX47" s="373">
        <f t="shared" si="56"/>
        <v>797694153.23458111</v>
      </c>
      <c r="AY47" s="373">
        <f t="shared" si="56"/>
        <v>896647968.20837462</v>
      </c>
      <c r="AZ47" s="373">
        <f t="shared" si="56"/>
        <v>900471559.51302576</v>
      </c>
      <c r="BA47" s="373">
        <f t="shared" si="56"/>
        <v>952719432.59938884</v>
      </c>
      <c r="BB47" s="373">
        <f t="shared" si="56"/>
        <v>1024237556.6924517</v>
      </c>
      <c r="BC47" s="373">
        <f t="shared" si="56"/>
        <v>1138686980.4372313</v>
      </c>
      <c r="BD47" s="373">
        <f t="shared" si="56"/>
        <v>916507967.89906275</v>
      </c>
      <c r="BE47" s="373">
        <f t="shared" si="56"/>
        <v>744079520.07068372</v>
      </c>
      <c r="BF47" s="373">
        <f t="shared" si="56"/>
        <v>718855589.11128449</v>
      </c>
      <c r="BG47" s="373">
        <f t="shared" si="56"/>
        <v>740182884.68545425</v>
      </c>
      <c r="BH47" s="373">
        <f t="shared" si="56"/>
        <v>804035013.01386034</v>
      </c>
      <c r="BI47" s="373">
        <f t="shared" si="56"/>
        <v>844918072.89483809</v>
      </c>
      <c r="BJ47" s="373">
        <f t="shared" si="56"/>
        <v>865244993.67391527</v>
      </c>
      <c r="BK47" s="373">
        <f t="shared" si="56"/>
        <v>705260680.01499915</v>
      </c>
      <c r="BL47" s="373">
        <f t="shared" si="56"/>
        <v>609474342.01940346</v>
      </c>
      <c r="BM47" s="373">
        <f t="shared" si="56"/>
        <v>621108278.17480052</v>
      </c>
      <c r="BN47" s="373">
        <f t="shared" si="56"/>
        <v>590094734.248281</v>
      </c>
      <c r="BO47" s="373">
        <f t="shared" si="56"/>
        <v>704693586.9706347</v>
      </c>
      <c r="BP47" s="373">
        <f t="shared" si="56"/>
        <v>725620012.39009428</v>
      </c>
      <c r="BQ47" s="373">
        <f t="shared" si="56"/>
        <v>739918871.90127337</v>
      </c>
      <c r="BR47" s="373">
        <f t="shared" si="56"/>
        <v>951817877.67933965</v>
      </c>
      <c r="BS47" s="373">
        <f t="shared" si="57"/>
        <v>853124736.92055702</v>
      </c>
      <c r="BT47" s="373">
        <f t="shared" si="57"/>
        <v>754106221.56115389</v>
      </c>
      <c r="BU47" s="373">
        <f t="shared" si="57"/>
        <v>414026351.83112687</v>
      </c>
      <c r="BV47" s="373">
        <f t="shared" si="57"/>
        <v>607661041.59642637</v>
      </c>
      <c r="BW47" s="373">
        <f t="shared" si="57"/>
        <v>626316739.73131192</v>
      </c>
      <c r="BX47" s="373">
        <f t="shared" si="57"/>
        <v>637716041.57014358</v>
      </c>
      <c r="BY47" s="373">
        <f t="shared" si="57"/>
        <v>643859541.54134989</v>
      </c>
      <c r="BZ47" s="373">
        <f t="shared" si="57"/>
        <v>633694595.74713576</v>
      </c>
      <c r="CA47" s="373">
        <f t="shared" si="57"/>
        <v>650863791.5520823</v>
      </c>
      <c r="CB47" s="373">
        <f t="shared" si="57"/>
        <v>754382447.49756336</v>
      </c>
      <c r="CC47" s="373">
        <f t="shared" si="57"/>
        <v>782380809.54768002</v>
      </c>
      <c r="CD47" s="373">
        <f t="shared" si="57"/>
        <v>950281225.69733739</v>
      </c>
      <c r="CE47" s="373">
        <f t="shared" si="57"/>
        <v>1040494175.4066705</v>
      </c>
      <c r="CF47" s="373">
        <f t="shared" si="57"/>
        <v>1075454614.0051661</v>
      </c>
      <c r="CG47" s="373">
        <f t="shared" si="57"/>
        <v>985539204.2040869</v>
      </c>
      <c r="CH47" s="373">
        <f t="shared" si="57"/>
        <v>857835419.84956872</v>
      </c>
      <c r="CI47" s="373">
        <f t="shared" si="57"/>
        <v>921627235.94159484</v>
      </c>
      <c r="CJ47" s="373">
        <f t="shared" si="57"/>
        <v>1090263294.1307964</v>
      </c>
      <c r="CK47" s="373">
        <f t="shared" si="57"/>
        <v>1155300345.138032</v>
      </c>
      <c r="CL47" s="375">
        <f t="shared" si="57"/>
        <v>1154169256.97088</v>
      </c>
      <c r="CM47" s="319">
        <f t="shared" si="15"/>
        <v>753528108.51939082</v>
      </c>
      <c r="CN47" s="17"/>
      <c r="CO47" s="17"/>
      <c r="CP47" s="17"/>
      <c r="CQ47" s="17"/>
      <c r="CR47" s="17"/>
      <c r="CS47" s="17"/>
      <c r="CT47" s="17"/>
      <c r="CU47" s="17"/>
      <c r="CV47" s="17"/>
      <c r="CW47" s="17"/>
      <c r="CX47" s="17"/>
      <c r="CY47" s="17"/>
      <c r="CZ47" s="17"/>
      <c r="DA47" s="17"/>
      <c r="DB47" s="17"/>
      <c r="DC47" s="17"/>
      <c r="DD47" s="17"/>
      <c r="DE47" s="17"/>
      <c r="DF47" s="17"/>
      <c r="DG47" s="17"/>
      <c r="DH47" s="17"/>
      <c r="DI47" s="17"/>
      <c r="DJ47" s="17"/>
      <c r="DK47" s="17"/>
      <c r="DL47" s="17"/>
      <c r="DM47" s="17"/>
      <c r="DN47" s="17"/>
      <c r="DO47" s="17"/>
      <c r="DP47" s="17"/>
      <c r="DQ47" s="17"/>
      <c r="DR47" s="17"/>
      <c r="DS47" s="17"/>
      <c r="DT47" s="17"/>
      <c r="DU47" s="17"/>
      <c r="DV47" s="17"/>
      <c r="DW47" s="17"/>
      <c r="DX47" s="17"/>
      <c r="DY47" s="17"/>
      <c r="DZ47" s="17"/>
      <c r="EA47" s="17"/>
      <c r="EB47" s="17"/>
      <c r="EC47" s="17"/>
      <c r="ED47" s="17"/>
      <c r="EE47" s="17"/>
      <c r="EF47" s="17"/>
      <c r="EG47" s="17"/>
      <c r="EH47" s="17"/>
      <c r="EI47" s="17"/>
      <c r="EJ47" s="17"/>
      <c r="EK47" s="17"/>
      <c r="EL47" s="17"/>
      <c r="EM47" s="17"/>
      <c r="EN47" s="17"/>
      <c r="EO47" s="17"/>
      <c r="EP47" s="17"/>
      <c r="EQ47" s="17"/>
      <c r="ER47" s="17"/>
      <c r="ES47" s="17"/>
      <c r="ET47" s="17"/>
      <c r="EU47" s="17"/>
      <c r="EV47" s="17"/>
      <c r="EW47" s="17"/>
      <c r="EX47" s="17"/>
      <c r="EY47" s="17"/>
      <c r="EZ47" s="17"/>
      <c r="FA47" s="17"/>
      <c r="FB47" s="17"/>
      <c r="FC47" s="17"/>
      <c r="FD47" s="17"/>
      <c r="FE47" s="17"/>
      <c r="FF47" s="17"/>
      <c r="FG47" s="17"/>
      <c r="FH47" s="17"/>
      <c r="FI47" s="17"/>
      <c r="FJ47" s="17"/>
      <c r="FK47" s="17"/>
      <c r="FL47" s="17"/>
      <c r="FM47" s="17"/>
      <c r="FN47" s="17"/>
      <c r="FO47" s="17"/>
      <c r="FP47" s="17"/>
      <c r="FQ47" s="17"/>
      <c r="FR47" s="17"/>
      <c r="FS47" s="17"/>
      <c r="FT47" s="17"/>
      <c r="FU47" s="17"/>
      <c r="FV47" s="17"/>
    </row>
    <row r="48" spans="1:179">
      <c r="A48" s="463" t="s">
        <v>332</v>
      </c>
      <c r="B48" s="52" t="s">
        <v>312</v>
      </c>
      <c r="C48" s="362" t="s">
        <v>326</v>
      </c>
      <c r="D48" s="362"/>
      <c r="E48" s="58"/>
      <c r="F48" s="382" t="s">
        <v>306</v>
      </c>
      <c r="G48" s="464">
        <f t="shared" ref="G48:BR49" si="58">G4*G14</f>
        <v>503783333.33333331</v>
      </c>
      <c r="H48" s="464">
        <f t="shared" si="58"/>
        <v>480125000</v>
      </c>
      <c r="I48" s="464">
        <f t="shared" si="58"/>
        <v>438375000</v>
      </c>
      <c r="J48" s="464">
        <f t="shared" si="58"/>
        <v>420283333.33333331</v>
      </c>
      <c r="K48" s="464">
        <f t="shared" si="58"/>
        <v>416108333.33333331</v>
      </c>
      <c r="L48" s="464">
        <f t="shared" si="58"/>
        <v>425850000</v>
      </c>
      <c r="M48" s="464">
        <f t="shared" si="58"/>
        <v>410541666.66666663</v>
      </c>
      <c r="N48" s="464">
        <f t="shared" si="58"/>
        <v>404975000</v>
      </c>
      <c r="O48" s="464">
        <f t="shared" si="58"/>
        <v>402191666.66666663</v>
      </c>
      <c r="P48" s="464">
        <f t="shared" si="58"/>
        <v>399408333.33333331</v>
      </c>
      <c r="Q48" s="464">
        <f t="shared" si="58"/>
        <v>396903333.33333331</v>
      </c>
      <c r="R48" s="464">
        <f t="shared" si="58"/>
        <v>382012500</v>
      </c>
      <c r="S48" s="464">
        <f t="shared" si="58"/>
        <v>400062416.66666663</v>
      </c>
      <c r="T48" s="464">
        <f t="shared" si="58"/>
        <v>366885083.33333331</v>
      </c>
      <c r="U48" s="464">
        <f t="shared" si="58"/>
        <v>394036500</v>
      </c>
      <c r="V48" s="464">
        <f t="shared" si="58"/>
        <v>430080666.66666663</v>
      </c>
      <c r="W48" s="464">
        <f t="shared" si="58"/>
        <v>447824416.66666663</v>
      </c>
      <c r="X48" s="464">
        <f t="shared" si="58"/>
        <v>354304416.66666663</v>
      </c>
      <c r="Y48" s="464">
        <f t="shared" si="58"/>
        <v>312345666.66666663</v>
      </c>
      <c r="Z48" s="464">
        <f t="shared" si="58"/>
        <v>315922250</v>
      </c>
      <c r="AA48" s="464">
        <f t="shared" si="58"/>
        <v>323618166.66666663</v>
      </c>
      <c r="AB48" s="464">
        <f t="shared" si="58"/>
        <v>343602500</v>
      </c>
      <c r="AC48" s="464">
        <f t="shared" si="58"/>
        <v>305373416.66666663</v>
      </c>
      <c r="AD48" s="464">
        <f t="shared" si="58"/>
        <v>293252000</v>
      </c>
      <c r="AE48" s="464">
        <f t="shared" si="58"/>
        <v>287852333.33333331</v>
      </c>
      <c r="AF48" s="464">
        <f t="shared" si="58"/>
        <v>311176666.66666663</v>
      </c>
      <c r="AG48" s="464">
        <f t="shared" si="58"/>
        <v>363628583.33333331</v>
      </c>
      <c r="AH48" s="464">
        <f t="shared" si="58"/>
        <v>392867500</v>
      </c>
      <c r="AI48" s="464">
        <f t="shared" si="58"/>
        <v>414939333.33333331</v>
      </c>
      <c r="AJ48" s="464">
        <f t="shared" si="58"/>
        <v>448923833.33333331</v>
      </c>
      <c r="AK48" s="464">
        <f t="shared" si="58"/>
        <v>468615916.66666663</v>
      </c>
      <c r="AL48" s="464">
        <f t="shared" si="58"/>
        <v>434186083.33333331</v>
      </c>
      <c r="AM48" s="464">
        <f t="shared" si="58"/>
        <v>398517666.66666663</v>
      </c>
      <c r="AN48" s="464">
        <f t="shared" si="58"/>
        <v>390334666.66666663</v>
      </c>
      <c r="AO48" s="464">
        <f t="shared" si="58"/>
        <v>357463500</v>
      </c>
      <c r="AP48" s="464">
        <f t="shared" si="58"/>
        <v>393716416.66666663</v>
      </c>
      <c r="AQ48" s="464">
        <f t="shared" si="58"/>
        <v>512133333.33333331</v>
      </c>
      <c r="AR48" s="464">
        <f t="shared" si="58"/>
        <v>515041916.66666663</v>
      </c>
      <c r="AS48" s="464">
        <f t="shared" si="58"/>
        <v>543195333.33333325</v>
      </c>
      <c r="AT48" s="464">
        <f t="shared" si="58"/>
        <v>527926884.42462462</v>
      </c>
      <c r="AU48" s="376">
        <f t="shared" si="58"/>
        <v>472855496.1644969</v>
      </c>
      <c r="AV48" s="376">
        <f t="shared" si="58"/>
        <v>440071899.24386066</v>
      </c>
      <c r="AW48" s="376">
        <f t="shared" si="58"/>
        <v>448751532.05086184</v>
      </c>
      <c r="AX48" s="376">
        <f t="shared" si="58"/>
        <v>496612109.21604395</v>
      </c>
      <c r="AY48" s="376">
        <f t="shared" si="58"/>
        <v>552907039.15829706</v>
      </c>
      <c r="AZ48" s="376">
        <f t="shared" si="58"/>
        <v>569917649.65598977</v>
      </c>
      <c r="BA48" s="376">
        <f t="shared" si="58"/>
        <v>602104701.85830867</v>
      </c>
      <c r="BB48" s="376">
        <f t="shared" si="58"/>
        <v>667835444.31540132</v>
      </c>
      <c r="BC48" s="376">
        <f t="shared" si="58"/>
        <v>701861722.82348228</v>
      </c>
      <c r="BD48" s="376">
        <f t="shared" si="58"/>
        <v>550083272.6916399</v>
      </c>
      <c r="BE48" s="376">
        <f t="shared" si="58"/>
        <v>427335284.39078343</v>
      </c>
      <c r="BF48" s="376">
        <f t="shared" si="58"/>
        <v>433037906.95010704</v>
      </c>
      <c r="BG48" s="376">
        <f t="shared" si="58"/>
        <v>487222037.94665253</v>
      </c>
      <c r="BH48" s="376">
        <f t="shared" si="58"/>
        <v>525883477.08287269</v>
      </c>
      <c r="BI48" s="376">
        <f t="shared" si="58"/>
        <v>540899865.95640659</v>
      </c>
      <c r="BJ48" s="376">
        <f t="shared" si="58"/>
        <v>538272538.90076435</v>
      </c>
      <c r="BK48" s="376">
        <f t="shared" si="58"/>
        <v>419433150.73498166</v>
      </c>
      <c r="BL48" s="376">
        <f t="shared" si="58"/>
        <v>355551480.59012467</v>
      </c>
      <c r="BM48" s="376">
        <f t="shared" si="58"/>
        <v>372421772.32309556</v>
      </c>
      <c r="BN48" s="376">
        <f t="shared" si="58"/>
        <v>373982529.02770001</v>
      </c>
      <c r="BO48" s="376">
        <f t="shared" si="58"/>
        <v>449768480.04544109</v>
      </c>
      <c r="BP48" s="376">
        <f t="shared" si="58"/>
        <v>462776343.36888146</v>
      </c>
      <c r="BQ48" s="376">
        <f t="shared" si="58"/>
        <v>471508902.03452033</v>
      </c>
      <c r="BR48" s="376">
        <f t="shared" si="58"/>
        <v>612545766.10353994</v>
      </c>
      <c r="BS48" s="376">
        <f t="shared" ref="BS48:CL49" si="59">BS4*BS14</f>
        <v>567476777.27516747</v>
      </c>
      <c r="BT48" s="376">
        <f t="shared" si="59"/>
        <v>518608331.47666478</v>
      </c>
      <c r="BU48" s="376">
        <f t="shared" si="59"/>
        <v>266165554.74806201</v>
      </c>
      <c r="BV48" s="376">
        <f t="shared" si="59"/>
        <v>374413185.875</v>
      </c>
      <c r="BW48" s="376">
        <f t="shared" si="59"/>
        <v>364055290.79522371</v>
      </c>
      <c r="BX48" s="376">
        <f t="shared" si="59"/>
        <v>371223432.97223085</v>
      </c>
      <c r="BY48" s="376">
        <f t="shared" si="59"/>
        <v>375069096.52591407</v>
      </c>
      <c r="BZ48" s="376">
        <f t="shared" si="59"/>
        <v>379824099.05327803</v>
      </c>
      <c r="CA48" s="376">
        <f t="shared" si="59"/>
        <v>406464908.85968888</v>
      </c>
      <c r="CB48" s="376">
        <f t="shared" si="59"/>
        <v>475741782.32972074</v>
      </c>
      <c r="CC48" s="376">
        <f t="shared" si="59"/>
        <v>492780938.80014253</v>
      </c>
      <c r="CD48" s="376">
        <f t="shared" si="59"/>
        <v>564301220.23307443</v>
      </c>
      <c r="CE48" s="376">
        <f t="shared" si="59"/>
        <v>620008257.08369112</v>
      </c>
      <c r="CF48" s="376">
        <f t="shared" si="59"/>
        <v>630822342.3695215</v>
      </c>
      <c r="CG48" s="376">
        <f t="shared" si="59"/>
        <v>574825817.44458151</v>
      </c>
      <c r="CH48" s="376">
        <f t="shared" si="59"/>
        <v>507261854.77547407</v>
      </c>
      <c r="CI48" s="376">
        <f t="shared" si="59"/>
        <v>562558199.18579817</v>
      </c>
      <c r="CJ48" s="376">
        <f t="shared" si="59"/>
        <v>671858118.90347981</v>
      </c>
      <c r="CK48" s="376">
        <f t="shared" si="59"/>
        <v>706681528.47983515</v>
      </c>
      <c r="CL48" s="382">
        <f t="shared" si="59"/>
        <v>711315839.01019955</v>
      </c>
      <c r="CM48" s="319">
        <f t="shared" si="15"/>
        <v>455279546.98320186</v>
      </c>
      <c r="CN48" s="58"/>
      <c r="CO48" s="58"/>
      <c r="CP48" s="58"/>
      <c r="CQ48" s="58"/>
      <c r="CR48" s="58"/>
      <c r="CS48" s="58"/>
      <c r="CT48" s="58"/>
      <c r="CU48" s="58"/>
      <c r="CV48" s="58"/>
      <c r="CW48" s="58"/>
      <c r="CX48" s="58"/>
      <c r="CY48" s="58"/>
      <c r="CZ48" s="58"/>
      <c r="DA48" s="58"/>
      <c r="DB48" s="58"/>
      <c r="DC48" s="58"/>
      <c r="DD48" s="58"/>
      <c r="DE48" s="58"/>
      <c r="DF48" s="58"/>
      <c r="DG48" s="58"/>
      <c r="DH48" s="58"/>
      <c r="DI48" s="58"/>
      <c r="DJ48" s="58"/>
      <c r="DK48" s="58"/>
      <c r="DL48" s="58"/>
      <c r="DM48" s="58"/>
      <c r="DN48" s="58"/>
      <c r="DO48" s="58"/>
      <c r="DP48" s="58"/>
      <c r="DQ48" s="58"/>
      <c r="DR48" s="58"/>
      <c r="DS48" s="58"/>
      <c r="DT48" s="58"/>
      <c r="DU48" s="58"/>
      <c r="DV48" s="58"/>
      <c r="DW48" s="58"/>
      <c r="DX48" s="58"/>
      <c r="DY48" s="58"/>
      <c r="DZ48" s="58"/>
      <c r="EA48" s="58"/>
      <c r="EB48" s="58"/>
      <c r="EC48" s="58"/>
      <c r="ED48" s="58"/>
      <c r="EE48" s="58"/>
      <c r="EF48" s="58"/>
      <c r="EG48" s="58"/>
      <c r="EH48" s="58"/>
      <c r="EI48" s="58"/>
      <c r="EJ48" s="58"/>
      <c r="EK48" s="58"/>
      <c r="EL48" s="58"/>
      <c r="EM48" s="58"/>
      <c r="EN48" s="58"/>
      <c r="EO48" s="58"/>
      <c r="EP48" s="58"/>
      <c r="EQ48" s="58"/>
      <c r="ER48" s="58"/>
      <c r="ES48" s="58"/>
      <c r="ET48" s="58"/>
      <c r="EU48" s="58"/>
      <c r="EV48" s="58"/>
      <c r="EW48" s="58"/>
      <c r="EX48" s="58"/>
      <c r="EY48" s="58"/>
      <c r="EZ48" s="58"/>
      <c r="FA48" s="58"/>
      <c r="FB48" s="58"/>
      <c r="FC48" s="58"/>
      <c r="FD48" s="58"/>
      <c r="FE48" s="58"/>
      <c r="FF48" s="58"/>
      <c r="FG48" s="58"/>
      <c r="FH48" s="58"/>
      <c r="FI48" s="58"/>
      <c r="FJ48" s="58"/>
      <c r="FK48" s="58"/>
      <c r="FL48" s="58"/>
      <c r="FM48" s="58"/>
      <c r="FN48" s="58"/>
      <c r="FO48" s="58"/>
      <c r="FP48" s="58"/>
      <c r="FQ48" s="58"/>
      <c r="FR48" s="58"/>
      <c r="FS48" s="58"/>
      <c r="FT48" s="58"/>
      <c r="FU48" s="58"/>
      <c r="FV48" s="58"/>
    </row>
    <row r="49" spans="1:178">
      <c r="A49" s="463" t="s">
        <v>332</v>
      </c>
      <c r="B49" s="52" t="s">
        <v>312</v>
      </c>
      <c r="C49" s="362" t="s">
        <v>326</v>
      </c>
      <c r="D49" s="362"/>
      <c r="E49" s="58"/>
      <c r="F49" s="382" t="s">
        <v>1</v>
      </c>
      <c r="G49" s="464">
        <f t="shared" si="58"/>
        <v>4537500000</v>
      </c>
      <c r="H49" s="464">
        <f t="shared" si="58"/>
        <v>4587500000</v>
      </c>
      <c r="I49" s="464">
        <f t="shared" si="58"/>
        <v>4262500000</v>
      </c>
      <c r="J49" s="464">
        <f t="shared" si="58"/>
        <v>4187500000</v>
      </c>
      <c r="K49" s="464">
        <f t="shared" si="58"/>
        <v>4150000000</v>
      </c>
      <c r="L49" s="464">
        <f t="shared" si="58"/>
        <v>4281250000</v>
      </c>
      <c r="M49" s="464">
        <f t="shared" si="58"/>
        <v>4238750000</v>
      </c>
      <c r="N49" s="464">
        <f t="shared" si="58"/>
        <v>4195000000</v>
      </c>
      <c r="O49" s="464">
        <f t="shared" si="58"/>
        <v>4143750000</v>
      </c>
      <c r="P49" s="464">
        <f t="shared" si="58"/>
        <v>4087500000</v>
      </c>
      <c r="Q49" s="464">
        <f t="shared" si="58"/>
        <v>4062500000</v>
      </c>
      <c r="R49" s="464">
        <f t="shared" si="58"/>
        <v>3912500000</v>
      </c>
      <c r="S49" s="464">
        <f t="shared" si="58"/>
        <v>3956250000</v>
      </c>
      <c r="T49" s="464">
        <f t="shared" si="58"/>
        <v>4100000000</v>
      </c>
      <c r="U49" s="464">
        <f t="shared" si="58"/>
        <v>3292500000</v>
      </c>
      <c r="V49" s="464">
        <f t="shared" si="58"/>
        <v>3560000000</v>
      </c>
      <c r="W49" s="464">
        <f t="shared" si="58"/>
        <v>2502500000</v>
      </c>
      <c r="X49" s="464">
        <f t="shared" si="58"/>
        <v>3207500000</v>
      </c>
      <c r="Y49" s="464">
        <f t="shared" si="58"/>
        <v>3540000000</v>
      </c>
      <c r="Z49" s="464">
        <f t="shared" si="58"/>
        <v>3806250000</v>
      </c>
      <c r="AA49" s="464">
        <f t="shared" si="58"/>
        <v>3647500000</v>
      </c>
      <c r="AB49" s="464">
        <f t="shared" si="58"/>
        <v>3995000000</v>
      </c>
      <c r="AC49" s="464">
        <f t="shared" si="58"/>
        <v>3317500000</v>
      </c>
      <c r="AD49" s="464">
        <f t="shared" si="58"/>
        <v>3455000000</v>
      </c>
      <c r="AE49" s="464">
        <f t="shared" si="58"/>
        <v>2952500000</v>
      </c>
      <c r="AF49" s="464">
        <f t="shared" si="58"/>
        <v>3620000000</v>
      </c>
      <c r="AG49" s="464">
        <f t="shared" si="58"/>
        <v>3662500000</v>
      </c>
      <c r="AH49" s="464">
        <f t="shared" si="58"/>
        <v>4758750000</v>
      </c>
      <c r="AI49" s="464">
        <f t="shared" si="58"/>
        <v>4707500000</v>
      </c>
      <c r="AJ49" s="464">
        <f t="shared" si="58"/>
        <v>4412500000</v>
      </c>
      <c r="AK49" s="464">
        <f t="shared" si="58"/>
        <v>4533750000</v>
      </c>
      <c r="AL49" s="464">
        <f t="shared" si="58"/>
        <v>3977500000</v>
      </c>
      <c r="AM49" s="464">
        <f t="shared" si="58"/>
        <v>3770000000</v>
      </c>
      <c r="AN49" s="464">
        <f t="shared" si="58"/>
        <v>3827500000</v>
      </c>
      <c r="AO49" s="464">
        <f t="shared" si="58"/>
        <v>4003750000</v>
      </c>
      <c r="AP49" s="464">
        <f t="shared" si="58"/>
        <v>3303750000</v>
      </c>
      <c r="AQ49" s="464">
        <f t="shared" si="58"/>
        <v>5058750000</v>
      </c>
      <c r="AR49" s="464">
        <f t="shared" si="58"/>
        <v>4645000000</v>
      </c>
      <c r="AS49" s="464">
        <f t="shared" si="58"/>
        <v>4410000000</v>
      </c>
      <c r="AT49" s="464">
        <f t="shared" si="58"/>
        <v>4683614728.1108541</v>
      </c>
      <c r="AU49" s="376">
        <f t="shared" si="58"/>
        <v>4372474408.0906372</v>
      </c>
      <c r="AV49" s="376">
        <f t="shared" si="58"/>
        <v>4624403348.6997738</v>
      </c>
      <c r="AW49" s="376">
        <f t="shared" si="58"/>
        <v>4801429337.6002979</v>
      </c>
      <c r="AX49" s="376">
        <f t="shared" si="58"/>
        <v>5384712084.0243912</v>
      </c>
      <c r="AY49" s="376">
        <f t="shared" si="58"/>
        <v>5292389246.5823355</v>
      </c>
      <c r="AZ49" s="376">
        <f t="shared" si="58"/>
        <v>5522100039.4850912</v>
      </c>
      <c r="BA49" s="376">
        <f t="shared" si="58"/>
        <v>5681234125.1694708</v>
      </c>
      <c r="BB49" s="376">
        <f t="shared" si="58"/>
        <v>6046854405.5281944</v>
      </c>
      <c r="BC49" s="376">
        <f t="shared" si="58"/>
        <v>6217061063.4911013</v>
      </c>
      <c r="BD49" s="376">
        <f t="shared" si="58"/>
        <v>4569837757.2912741</v>
      </c>
      <c r="BE49" s="376">
        <f t="shared" si="58"/>
        <v>3923440274.0472007</v>
      </c>
      <c r="BF49" s="376">
        <f t="shared" si="58"/>
        <v>3994337533.0514441</v>
      </c>
      <c r="BG49" s="376">
        <f t="shared" si="58"/>
        <v>4436073757.0713463</v>
      </c>
      <c r="BH49" s="376">
        <f t="shared" si="58"/>
        <v>4643965057.9571285</v>
      </c>
      <c r="BI49" s="376">
        <f t="shared" si="58"/>
        <v>5028060996.4386978</v>
      </c>
      <c r="BJ49" s="376">
        <f t="shared" si="58"/>
        <v>4972101007.0466175</v>
      </c>
      <c r="BK49" s="376">
        <f t="shared" si="58"/>
        <v>4100761415.3883214</v>
      </c>
      <c r="BL49" s="376">
        <f t="shared" si="58"/>
        <v>4356504299.6377993</v>
      </c>
      <c r="BM49" s="376">
        <f t="shared" si="58"/>
        <v>4092926501.4769721</v>
      </c>
      <c r="BN49" s="376">
        <f t="shared" si="58"/>
        <v>4242686808.8585024</v>
      </c>
      <c r="BO49" s="376">
        <f t="shared" si="58"/>
        <v>4520133850.957284</v>
      </c>
      <c r="BP49" s="376">
        <f t="shared" si="58"/>
        <v>4526037211.0194817</v>
      </c>
      <c r="BQ49" s="376">
        <f t="shared" si="58"/>
        <v>4901550366.201972</v>
      </c>
      <c r="BR49" s="376">
        <f t="shared" si="58"/>
        <v>4750688749.8814316</v>
      </c>
      <c r="BS49" s="376">
        <f t="shared" si="59"/>
        <v>4243614899.4090219</v>
      </c>
      <c r="BT49" s="376">
        <f t="shared" si="59"/>
        <v>2728778815.0480127</v>
      </c>
      <c r="BU49" s="376">
        <f t="shared" si="59"/>
        <v>5202250003.1806231</v>
      </c>
      <c r="BV49" s="376">
        <f t="shared" si="59"/>
        <v>4536638750.3839464</v>
      </c>
      <c r="BW49" s="376">
        <f t="shared" si="59"/>
        <v>5028820001.1503019</v>
      </c>
      <c r="BX49" s="376">
        <f t="shared" si="59"/>
        <v>3623063341.0527987</v>
      </c>
      <c r="BY49" s="376">
        <f t="shared" si="59"/>
        <v>3662028079.7299395</v>
      </c>
      <c r="BZ49" s="376">
        <f t="shared" si="59"/>
        <v>3508908544.0926781</v>
      </c>
      <c r="CA49" s="376">
        <f t="shared" si="59"/>
        <v>2902417538.0136647</v>
      </c>
      <c r="CB49" s="376">
        <f t="shared" si="59"/>
        <v>3460017271.2354579</v>
      </c>
      <c r="CC49" s="376">
        <f t="shared" si="59"/>
        <v>3987065813.7634997</v>
      </c>
      <c r="CD49" s="376">
        <f t="shared" si="59"/>
        <v>4544077126.6164293</v>
      </c>
      <c r="CE49" s="376">
        <f t="shared" si="59"/>
        <v>5016846685.3497887</v>
      </c>
      <c r="CF49" s="376">
        <f t="shared" si="59"/>
        <v>5367955901.7016172</v>
      </c>
      <c r="CG49" s="376">
        <f t="shared" si="59"/>
        <v>5132685788.4232254</v>
      </c>
      <c r="CH49" s="376">
        <f t="shared" si="59"/>
        <v>5408258657.5165176</v>
      </c>
      <c r="CI49" s="376">
        <f t="shared" si="59"/>
        <v>5845553412.5903749</v>
      </c>
      <c r="CJ49" s="376">
        <f t="shared" si="59"/>
        <v>6231020452.1000681</v>
      </c>
      <c r="CK49" s="376">
        <f t="shared" si="59"/>
        <v>5994858883.9419479</v>
      </c>
      <c r="CL49" s="382">
        <f t="shared" si="59"/>
        <v>6149752052.7771397</v>
      </c>
      <c r="CM49" s="319">
        <f t="shared" si="15"/>
        <v>4368214171.3236275</v>
      </c>
      <c r="CN49" s="58"/>
      <c r="CO49" s="58"/>
      <c r="CP49" s="58"/>
      <c r="CQ49" s="58"/>
      <c r="CR49" s="58"/>
      <c r="CS49" s="58"/>
      <c r="CT49" s="58"/>
      <c r="CU49" s="58"/>
      <c r="CV49" s="58"/>
      <c r="CW49" s="58"/>
      <c r="CX49" s="58"/>
      <c r="CY49" s="58"/>
      <c r="CZ49" s="58"/>
      <c r="DA49" s="58"/>
      <c r="DB49" s="58"/>
      <c r="DC49" s="58"/>
      <c r="DD49" s="58"/>
      <c r="DE49" s="58"/>
      <c r="DF49" s="58"/>
      <c r="DG49" s="58"/>
      <c r="DH49" s="58"/>
      <c r="DI49" s="58"/>
      <c r="DJ49" s="58"/>
      <c r="DK49" s="58"/>
      <c r="DL49" s="58"/>
      <c r="DM49" s="58"/>
      <c r="DN49" s="58"/>
      <c r="DO49" s="58"/>
      <c r="DP49" s="58"/>
      <c r="DQ49" s="58"/>
      <c r="DR49" s="58"/>
      <c r="DS49" s="58"/>
      <c r="DT49" s="58"/>
      <c r="DU49" s="58"/>
      <c r="DV49" s="58"/>
      <c r="DW49" s="58"/>
      <c r="DX49" s="490"/>
      <c r="DY49" s="58"/>
      <c r="DZ49" s="58"/>
      <c r="EA49" s="58"/>
      <c r="EB49" s="58"/>
      <c r="EC49" s="58"/>
      <c r="ED49" s="58"/>
      <c r="EE49" s="58"/>
      <c r="EF49" s="58"/>
      <c r="EG49" s="58"/>
      <c r="EH49" s="58"/>
      <c r="EI49" s="58"/>
      <c r="EJ49" s="58"/>
      <c r="EK49" s="58"/>
      <c r="EL49" s="58"/>
      <c r="EM49" s="58"/>
      <c r="EN49" s="58"/>
      <c r="EO49" s="58"/>
      <c r="EP49" s="58"/>
      <c r="EQ49" s="58"/>
      <c r="ER49" s="58"/>
      <c r="ES49" s="58"/>
      <c r="ET49" s="58"/>
      <c r="EU49" s="58"/>
      <c r="EV49" s="58"/>
      <c r="EW49" s="58"/>
      <c r="EX49" s="58"/>
      <c r="EY49" s="58"/>
      <c r="EZ49" s="58"/>
      <c r="FA49" s="58"/>
      <c r="FB49" s="58"/>
      <c r="FC49" s="58"/>
      <c r="FD49" s="58"/>
      <c r="FE49" s="58"/>
      <c r="FF49" s="58"/>
      <c r="FG49" s="58"/>
      <c r="FH49" s="58"/>
      <c r="FI49" s="58"/>
      <c r="FJ49" s="58"/>
      <c r="FK49" s="58"/>
      <c r="FL49" s="58"/>
      <c r="FM49" s="58"/>
      <c r="FN49" s="58"/>
      <c r="FO49" s="58"/>
      <c r="FP49" s="58"/>
      <c r="FQ49" s="58"/>
      <c r="FR49" s="58"/>
      <c r="FS49" s="58"/>
      <c r="FT49" s="58"/>
      <c r="FU49" s="58"/>
      <c r="FV49" s="58"/>
    </row>
    <row r="50" spans="1:178">
      <c r="A50" s="463" t="s">
        <v>333</v>
      </c>
      <c r="B50" s="52" t="s">
        <v>312</v>
      </c>
      <c r="C50" s="362" t="s">
        <v>326</v>
      </c>
      <c r="D50" s="362"/>
      <c r="E50" s="58"/>
      <c r="F50" s="382" t="s">
        <v>334</v>
      </c>
      <c r="G50" s="464">
        <f t="shared" ref="G50:BR50" si="60">G46*$CO$4+G47*$CP$4+G48*$CQ$4+G49*$CR$4</f>
        <v>4712539063.2454624</v>
      </c>
      <c r="H50" s="464">
        <f t="shared" si="60"/>
        <v>4684342767.7627802</v>
      </c>
      <c r="I50" s="464">
        <f t="shared" si="60"/>
        <v>4206976321.8286676</v>
      </c>
      <c r="J50" s="464">
        <f t="shared" si="60"/>
        <v>4077122106.2294283</v>
      </c>
      <c r="K50" s="464">
        <f t="shared" si="60"/>
        <v>4058936496.7388349</v>
      </c>
      <c r="L50" s="464">
        <f t="shared" si="60"/>
        <v>4174387437.8717875</v>
      </c>
      <c r="M50" s="464">
        <f t="shared" si="60"/>
        <v>4114420457.9974027</v>
      </c>
      <c r="N50" s="464">
        <f t="shared" si="60"/>
        <v>4067020219.6756945</v>
      </c>
      <c r="O50" s="464">
        <f t="shared" si="60"/>
        <v>3988113013.105051</v>
      </c>
      <c r="P50" s="464">
        <f t="shared" si="60"/>
        <v>3932420802.9108915</v>
      </c>
      <c r="Q50" s="464">
        <f t="shared" si="60"/>
        <v>3901914090.1953678</v>
      </c>
      <c r="R50" s="464">
        <f t="shared" si="60"/>
        <v>3761496432.2704349</v>
      </c>
      <c r="S50" s="464">
        <f t="shared" si="60"/>
        <v>3851159002.3628349</v>
      </c>
      <c r="T50" s="464">
        <f t="shared" si="60"/>
        <v>3875512516.3586674</v>
      </c>
      <c r="U50" s="464">
        <f t="shared" si="60"/>
        <v>3395910295.452486</v>
      </c>
      <c r="V50" s="464">
        <f t="shared" si="60"/>
        <v>3755886531.3585162</v>
      </c>
      <c r="W50" s="464">
        <f t="shared" si="60"/>
        <v>3119897173.7702684</v>
      </c>
      <c r="X50" s="464">
        <f t="shared" si="60"/>
        <v>3296984321.9720984</v>
      </c>
      <c r="Y50" s="464">
        <f t="shared" si="60"/>
        <v>3109963516.2001386</v>
      </c>
      <c r="Z50" s="464">
        <f t="shared" si="60"/>
        <v>3364014643.2119455</v>
      </c>
      <c r="AA50" s="464">
        <f t="shared" si="60"/>
        <v>3239278727.8286076</v>
      </c>
      <c r="AB50" s="464">
        <f t="shared" si="60"/>
        <v>3464125427.4239812</v>
      </c>
      <c r="AC50" s="464">
        <f t="shared" si="60"/>
        <v>3098712437.4716911</v>
      </c>
      <c r="AD50" s="464">
        <f t="shared" si="60"/>
        <v>3129065039.2094688</v>
      </c>
      <c r="AE50" s="464">
        <f t="shared" si="60"/>
        <v>2679283687.0640454</v>
      </c>
      <c r="AF50" s="464">
        <f t="shared" si="60"/>
        <v>3305041911.2087445</v>
      </c>
      <c r="AG50" s="464">
        <f t="shared" si="60"/>
        <v>3402634754.7860613</v>
      </c>
      <c r="AH50" s="464">
        <f t="shared" si="60"/>
        <v>4198036014.3581843</v>
      </c>
      <c r="AI50" s="464">
        <f t="shared" si="60"/>
        <v>4272804821.8437657</v>
      </c>
      <c r="AJ50" s="464">
        <f t="shared" si="60"/>
        <v>4347570440.1364851</v>
      </c>
      <c r="AK50" s="464">
        <f t="shared" si="60"/>
        <v>4472981309.6672401</v>
      </c>
      <c r="AL50" s="464">
        <f t="shared" si="60"/>
        <v>3929904628.5668983</v>
      </c>
      <c r="AM50" s="464">
        <f t="shared" si="60"/>
        <v>3710467161.2162933</v>
      </c>
      <c r="AN50" s="464">
        <f t="shared" si="60"/>
        <v>3761894954.5399637</v>
      </c>
      <c r="AO50" s="464">
        <f t="shared" si="60"/>
        <v>3578147763.9731855</v>
      </c>
      <c r="AP50" s="464">
        <f t="shared" si="60"/>
        <v>3311263221.1175528</v>
      </c>
      <c r="AQ50" s="464">
        <f t="shared" si="60"/>
        <v>5055355507.8056583</v>
      </c>
      <c r="AR50" s="464">
        <f t="shared" si="60"/>
        <v>4845522484.6377983</v>
      </c>
      <c r="AS50" s="464">
        <f t="shared" si="60"/>
        <v>4767996702.7055588</v>
      </c>
      <c r="AT50" s="464">
        <f t="shared" si="60"/>
        <v>4877076072.1992712</v>
      </c>
      <c r="AU50" s="376">
        <f t="shared" si="60"/>
        <v>4610390236.3251228</v>
      </c>
      <c r="AV50" s="376">
        <f t="shared" si="60"/>
        <v>4930210410.2073956</v>
      </c>
      <c r="AW50" s="376">
        <f t="shared" si="60"/>
        <v>5001481944.0935993</v>
      </c>
      <c r="AX50" s="376">
        <f t="shared" si="60"/>
        <v>5084018719.9250565</v>
      </c>
      <c r="AY50" s="376">
        <f t="shared" si="60"/>
        <v>5558803652.4522133</v>
      </c>
      <c r="AZ50" s="376">
        <f t="shared" si="60"/>
        <v>5899358575.206213</v>
      </c>
      <c r="BA50" s="376">
        <f t="shared" si="60"/>
        <v>6105034610.8971157</v>
      </c>
      <c r="BB50" s="376">
        <f t="shared" si="60"/>
        <v>6415466448.2257385</v>
      </c>
      <c r="BC50" s="376">
        <f t="shared" si="60"/>
        <v>5899007028.9799347</v>
      </c>
      <c r="BD50" s="376">
        <f t="shared" si="60"/>
        <v>4589774165.3065634</v>
      </c>
      <c r="BE50" s="376">
        <f t="shared" si="60"/>
        <v>4032467051.4404917</v>
      </c>
      <c r="BF50" s="376">
        <f t="shared" si="60"/>
        <v>4088652434.1858644</v>
      </c>
      <c r="BG50" s="376">
        <f t="shared" si="60"/>
        <v>4363802357.7413034</v>
      </c>
      <c r="BH50" s="376">
        <f t="shared" si="60"/>
        <v>4551373239.9719534</v>
      </c>
      <c r="BI50" s="376">
        <f t="shared" si="60"/>
        <v>4865160458.148613</v>
      </c>
      <c r="BJ50" s="376">
        <f t="shared" si="60"/>
        <v>4840488757.9195366</v>
      </c>
      <c r="BK50" s="376">
        <f t="shared" si="60"/>
        <v>4174055830.9679356</v>
      </c>
      <c r="BL50" s="376">
        <f t="shared" si="60"/>
        <v>4232140114.5490866</v>
      </c>
      <c r="BM50" s="376">
        <f t="shared" si="60"/>
        <v>4129249262.4068422</v>
      </c>
      <c r="BN50" s="376">
        <f t="shared" si="60"/>
        <v>4146025390.7428761</v>
      </c>
      <c r="BO50" s="376">
        <f t="shared" si="60"/>
        <v>4351374098.2584991</v>
      </c>
      <c r="BP50" s="376">
        <f t="shared" si="60"/>
        <v>4375863438.2652798</v>
      </c>
      <c r="BQ50" s="376">
        <f t="shared" si="60"/>
        <v>4623986540.6781082</v>
      </c>
      <c r="BR50" s="376">
        <f t="shared" si="60"/>
        <v>4782799374.7914486</v>
      </c>
      <c r="BS50" s="376">
        <f t="shared" ref="BS50:CL50" si="61">BS46*$CO$4+BS47*$CP$4+BS48*$CQ$4+BS49*$CR$4</f>
        <v>4413171540.9818792</v>
      </c>
      <c r="BT50" s="376">
        <f t="shared" si="61"/>
        <v>3412556082.0758009</v>
      </c>
      <c r="BU50" s="376">
        <f t="shared" si="61"/>
        <v>4347312562.3704185</v>
      </c>
      <c r="BV50" s="376">
        <f t="shared" si="61"/>
        <v>4162698911.7426505</v>
      </c>
      <c r="BW50" s="376">
        <f t="shared" si="61"/>
        <v>4475237184.2969666</v>
      </c>
      <c r="BX50" s="376">
        <f t="shared" si="61"/>
        <v>3648761982.298656</v>
      </c>
      <c r="BY50" s="376">
        <f t="shared" si="61"/>
        <v>3696907839.8943877</v>
      </c>
      <c r="BZ50" s="376">
        <f t="shared" si="61"/>
        <v>3636779661.3246918</v>
      </c>
      <c r="CA50" s="376">
        <f t="shared" si="61"/>
        <v>3183392163.8685145</v>
      </c>
      <c r="CB50" s="376">
        <f t="shared" si="61"/>
        <v>3585515918.1525393</v>
      </c>
      <c r="CC50" s="376">
        <f t="shared" si="61"/>
        <v>3972419096.5898991</v>
      </c>
      <c r="CD50" s="376">
        <f t="shared" si="61"/>
        <v>4412757468.4635277</v>
      </c>
      <c r="CE50" s="376">
        <f t="shared" si="61"/>
        <v>4802464434.2476091</v>
      </c>
      <c r="CF50" s="376">
        <f t="shared" si="61"/>
        <v>5041832414.3748903</v>
      </c>
      <c r="CG50" s="376">
        <f t="shared" si="61"/>
        <v>4796855573.146307</v>
      </c>
      <c r="CH50" s="376">
        <f t="shared" si="61"/>
        <v>4844694327.0497246</v>
      </c>
      <c r="CI50" s="376">
        <f t="shared" si="61"/>
        <v>5167880972.6672955</v>
      </c>
      <c r="CJ50" s="376">
        <f t="shared" si="61"/>
        <v>5575551503.7350864</v>
      </c>
      <c r="CK50" s="376">
        <f t="shared" si="61"/>
        <v>5470290031.1222038</v>
      </c>
      <c r="CL50" s="382">
        <f t="shared" si="61"/>
        <v>5565309488.5612583</v>
      </c>
      <c r="CM50" s="319">
        <f t="shared" si="15"/>
        <v>4270947066.3920279</v>
      </c>
      <c r="CN50" s="58"/>
      <c r="CO50" s="58"/>
      <c r="CP50" s="58"/>
      <c r="CQ50" s="58"/>
      <c r="CR50" s="58"/>
      <c r="CS50" s="58"/>
      <c r="CT50" s="58"/>
      <c r="CU50" s="58"/>
      <c r="CV50" s="58"/>
      <c r="CW50" s="58"/>
      <c r="CX50" s="58"/>
      <c r="CY50" s="58"/>
      <c r="CZ50" s="58"/>
      <c r="DA50" s="58"/>
      <c r="DB50" s="58"/>
      <c r="DC50" s="58"/>
      <c r="DD50" s="58"/>
      <c r="DE50" s="58"/>
      <c r="DF50" s="58"/>
      <c r="DG50" s="58"/>
      <c r="DH50" s="58"/>
      <c r="DI50" s="58"/>
      <c r="DJ50" s="58"/>
      <c r="DK50" s="58"/>
      <c r="DL50" s="58"/>
      <c r="DM50" s="58"/>
      <c r="DN50" s="58"/>
      <c r="DO50" s="58"/>
      <c r="DP50" s="58"/>
      <c r="DQ50" s="58"/>
      <c r="DR50" s="58"/>
      <c r="DS50" s="58"/>
      <c r="DT50" s="58"/>
      <c r="DU50" s="58"/>
      <c r="DV50" s="58"/>
      <c r="DW50" s="58"/>
      <c r="DX50" s="58"/>
      <c r="DY50" s="58"/>
      <c r="DZ50" s="58"/>
      <c r="EA50" s="58"/>
      <c r="EB50" s="58"/>
      <c r="EC50" s="58"/>
      <c r="ED50" s="58"/>
      <c r="EE50" s="58"/>
      <c r="EF50" s="58"/>
      <c r="EG50" s="58"/>
      <c r="EH50" s="58"/>
      <c r="EI50" s="58"/>
      <c r="EJ50" s="58"/>
      <c r="EK50" s="58"/>
      <c r="EL50" s="58"/>
      <c r="EM50" s="58"/>
      <c r="EN50" s="58"/>
      <c r="EO50" s="58"/>
      <c r="EP50" s="58"/>
      <c r="EQ50" s="58"/>
      <c r="ER50" s="58"/>
      <c r="ES50" s="58"/>
      <c r="ET50" s="58"/>
      <c r="EU50" s="58"/>
      <c r="EV50" s="58"/>
      <c r="EW50" s="58"/>
      <c r="EX50" s="58"/>
      <c r="EY50" s="58"/>
      <c r="EZ50" s="58"/>
      <c r="FA50" s="58"/>
      <c r="FB50" s="58"/>
      <c r="FC50" s="58"/>
      <c r="FD50" s="58"/>
      <c r="FE50" s="58"/>
      <c r="FF50" s="58"/>
      <c r="FG50" s="58"/>
      <c r="FH50" s="58"/>
      <c r="FI50" s="58"/>
      <c r="FJ50" s="58"/>
      <c r="FK50" s="58"/>
      <c r="FL50" s="58"/>
      <c r="FM50" s="58"/>
      <c r="FN50" s="58"/>
      <c r="FO50" s="58"/>
      <c r="FP50" s="58"/>
      <c r="FQ50" s="58"/>
      <c r="FR50" s="58"/>
      <c r="FS50" s="58"/>
      <c r="FT50" s="58"/>
      <c r="FU50" s="58"/>
      <c r="FV50" s="58"/>
    </row>
    <row r="51" spans="1:178">
      <c r="A51" s="463" t="s">
        <v>335</v>
      </c>
      <c r="B51" s="52" t="s">
        <v>312</v>
      </c>
      <c r="C51" s="362" t="s">
        <v>326</v>
      </c>
      <c r="D51" s="362"/>
      <c r="E51" s="58"/>
      <c r="F51" s="382" t="s">
        <v>336</v>
      </c>
      <c r="G51" s="464">
        <f t="shared" ref="G51:BR51" si="62">$CO$5*G46+G47*$CP$5+G48*$CQ$5+G49*$CR$5</f>
        <v>2448131770.0878706</v>
      </c>
      <c r="H51" s="464">
        <f t="shared" si="62"/>
        <v>2452265565.5705533</v>
      </c>
      <c r="I51" s="464">
        <f t="shared" si="62"/>
        <v>2258315344.8379989</v>
      </c>
      <c r="J51" s="464">
        <f t="shared" si="62"/>
        <v>2208664560.4372377</v>
      </c>
      <c r="K51" s="464">
        <f t="shared" si="62"/>
        <v>2187484336.5944986</v>
      </c>
      <c r="L51" s="464">
        <f t="shared" si="62"/>
        <v>2249908395.4615459</v>
      </c>
      <c r="M51" s="464">
        <f t="shared" si="62"/>
        <v>2221842042.0025969</v>
      </c>
      <c r="N51" s="464">
        <f t="shared" si="62"/>
        <v>2198200613.6576385</v>
      </c>
      <c r="O51" s="464">
        <f t="shared" si="62"/>
        <v>2158232820.228282</v>
      </c>
      <c r="P51" s="464">
        <f t="shared" si="62"/>
        <v>2129333363.7557755</v>
      </c>
      <c r="Q51" s="464">
        <f t="shared" si="62"/>
        <v>2115305909.8046324</v>
      </c>
      <c r="R51" s="464">
        <f t="shared" si="62"/>
        <v>2037011901.0628986</v>
      </c>
      <c r="S51" s="464">
        <f t="shared" si="62"/>
        <v>2070722580.9704988</v>
      </c>
      <c r="T51" s="464">
        <f t="shared" si="62"/>
        <v>2108099650.3079991</v>
      </c>
      <c r="U51" s="464">
        <f t="shared" si="62"/>
        <v>1782746621.2141805</v>
      </c>
      <c r="V51" s="464">
        <f t="shared" si="62"/>
        <v>1939192468.6414835</v>
      </c>
      <c r="W51" s="464">
        <f t="shared" si="62"/>
        <v>1504161409.5630646</v>
      </c>
      <c r="X51" s="464">
        <f t="shared" si="62"/>
        <v>1721205928.0279014</v>
      </c>
      <c r="Y51" s="464">
        <f t="shared" si="62"/>
        <v>1809942567.1331947</v>
      </c>
      <c r="Z51" s="464">
        <f t="shared" si="62"/>
        <v>1933594273.4547215</v>
      </c>
      <c r="AA51" s="464">
        <f t="shared" si="62"/>
        <v>1865756938.8380592</v>
      </c>
      <c r="AB51" s="464">
        <f t="shared" si="62"/>
        <v>2026684155.9093521</v>
      </c>
      <c r="AC51" s="464">
        <f t="shared" si="62"/>
        <v>1712915145.8616424</v>
      </c>
      <c r="AD51" s="464">
        <f t="shared" si="62"/>
        <v>1761939460.7905309</v>
      </c>
      <c r="AE51" s="464">
        <f t="shared" si="62"/>
        <v>1535601146.2692881</v>
      </c>
      <c r="AF51" s="464">
        <f t="shared" si="62"/>
        <v>1849418505.457922</v>
      </c>
      <c r="AG51" s="464">
        <f t="shared" si="62"/>
        <v>1912981745.2139387</v>
      </c>
      <c r="AH51" s="464">
        <f t="shared" si="62"/>
        <v>2399438985.6418157</v>
      </c>
      <c r="AI51" s="464">
        <f t="shared" si="62"/>
        <v>2404453678.1562343</v>
      </c>
      <c r="AJ51" s="464">
        <f t="shared" si="62"/>
        <v>2318858393.1968479</v>
      </c>
      <c r="AK51" s="464">
        <f t="shared" si="62"/>
        <v>2389323356.9994264</v>
      </c>
      <c r="AL51" s="464">
        <f t="shared" si="62"/>
        <v>2118351454.7664344</v>
      </c>
      <c r="AM51" s="464">
        <f t="shared" si="62"/>
        <v>1995193422.1170397</v>
      </c>
      <c r="AN51" s="464">
        <f t="shared" si="62"/>
        <v>2006482628.7933693</v>
      </c>
      <c r="AO51" s="464">
        <f t="shared" si="62"/>
        <v>2044089902.693481</v>
      </c>
      <c r="AP51" s="464">
        <f t="shared" si="62"/>
        <v>1788810278.8824472</v>
      </c>
      <c r="AQ51" s="464">
        <f t="shared" si="62"/>
        <v>2653338658.8610086</v>
      </c>
      <c r="AR51" s="464">
        <f t="shared" si="62"/>
        <v>2489541932.0288677</v>
      </c>
      <c r="AS51" s="464">
        <f t="shared" si="62"/>
        <v>2405156547.2944412</v>
      </c>
      <c r="AT51" s="464">
        <f t="shared" si="62"/>
        <v>2513952392.925683</v>
      </c>
      <c r="AU51" s="376">
        <f t="shared" si="62"/>
        <v>2329246490.3354297</v>
      </c>
      <c r="AV51" s="376">
        <f t="shared" si="62"/>
        <v>2403617876.3144155</v>
      </c>
      <c r="AW51" s="376">
        <f t="shared" si="62"/>
        <v>2480982614.3124137</v>
      </c>
      <c r="AX51" s="376">
        <f t="shared" si="62"/>
        <v>2763925612.5997291</v>
      </c>
      <c r="AY51" s="376">
        <f t="shared" si="62"/>
        <v>2787934409.150784</v>
      </c>
      <c r="AZ51" s="376">
        <f t="shared" si="62"/>
        <v>2895508582.2486777</v>
      </c>
      <c r="BA51" s="376">
        <f t="shared" si="62"/>
        <v>2994717149.389895</v>
      </c>
      <c r="BB51" s="376">
        <f t="shared" si="62"/>
        <v>3201026262.533226</v>
      </c>
      <c r="BC51" s="376">
        <f t="shared" si="62"/>
        <v>3317601451.515254</v>
      </c>
      <c r="BD51" s="376">
        <f t="shared" si="62"/>
        <v>2482467193.4286108</v>
      </c>
      <c r="BE51" s="376">
        <f t="shared" si="62"/>
        <v>2099513969.8865952</v>
      </c>
      <c r="BF51" s="376">
        <f t="shared" si="62"/>
        <v>2123464856.5624716</v>
      </c>
      <c r="BG51" s="376">
        <f t="shared" si="62"/>
        <v>2339268850.759234</v>
      </c>
      <c r="BH51" s="376">
        <f t="shared" si="62"/>
        <v>2465007687.2497611</v>
      </c>
      <c r="BI51" s="376">
        <f t="shared" si="62"/>
        <v>2647753204.9555326</v>
      </c>
      <c r="BJ51" s="376">
        <f t="shared" si="62"/>
        <v>2630003964.1164622</v>
      </c>
      <c r="BK51" s="376">
        <f t="shared" si="62"/>
        <v>2158380601.764554</v>
      </c>
      <c r="BL51" s="376">
        <f t="shared" si="62"/>
        <v>2206444607.110817</v>
      </c>
      <c r="BM51" s="376">
        <f t="shared" si="62"/>
        <v>2106950377.6220574</v>
      </c>
      <c r="BN51" s="376">
        <f t="shared" si="62"/>
        <v>2159416045.117631</v>
      </c>
      <c r="BO51" s="376">
        <f t="shared" si="62"/>
        <v>2346528683.3344078</v>
      </c>
      <c r="BP51" s="376">
        <f t="shared" si="62"/>
        <v>2361663506.014936</v>
      </c>
      <c r="BQ51" s="376">
        <f t="shared" si="62"/>
        <v>2528552039.4651594</v>
      </c>
      <c r="BR51" s="376">
        <f t="shared" si="62"/>
        <v>2597374351.9373579</v>
      </c>
      <c r="BS51" s="376">
        <f t="shared" ref="BS51:CL51" si="63">$CO$5*BS46+BS47*$CP$5+BS48*$CQ$5+BS49*$CR$5</f>
        <v>2331237085.0418301</v>
      </c>
      <c r="BT51" s="376">
        <f t="shared" si="63"/>
        <v>1638517148.8512769</v>
      </c>
      <c r="BU51" s="376">
        <f t="shared" si="63"/>
        <v>2455531839.946836</v>
      </c>
      <c r="BV51" s="376">
        <f t="shared" si="63"/>
        <v>2287373467.7400284</v>
      </c>
      <c r="BW51" s="376">
        <f t="shared" si="63"/>
        <v>2496902802.0169039</v>
      </c>
      <c r="BX51" s="376">
        <f t="shared" si="63"/>
        <v>1911635940.6725273</v>
      </c>
      <c r="BY51" s="376">
        <f t="shared" si="63"/>
        <v>1932003371.2912009</v>
      </c>
      <c r="BZ51" s="376">
        <f t="shared" si="63"/>
        <v>1866444663.8097901</v>
      </c>
      <c r="CA51" s="376">
        <f t="shared" si="63"/>
        <v>1626611021.4026775</v>
      </c>
      <c r="CB51" s="376">
        <f t="shared" si="63"/>
        <v>1925699575.0717654</v>
      </c>
      <c r="CC51" s="376">
        <f t="shared" si="63"/>
        <v>2165041084.538559</v>
      </c>
      <c r="CD51" s="376">
        <f t="shared" si="63"/>
        <v>2486838617.2137079</v>
      </c>
      <c r="CE51" s="376">
        <f t="shared" si="63"/>
        <v>2740583574.60042</v>
      </c>
      <c r="CF51" s="376">
        <f t="shared" si="63"/>
        <v>2905042420.9166627</v>
      </c>
      <c r="CG51" s="376">
        <f t="shared" si="63"/>
        <v>2751365189.5868421</v>
      </c>
      <c r="CH51" s="376">
        <f t="shared" si="63"/>
        <v>2795301929.6444721</v>
      </c>
      <c r="CI51" s="376">
        <f t="shared" si="63"/>
        <v>3024532407.5504942</v>
      </c>
      <c r="CJ51" s="376">
        <f t="shared" si="63"/>
        <v>3290800348.0271988</v>
      </c>
      <c r="CK51" s="376">
        <f t="shared" si="63"/>
        <v>3227941439.2626696</v>
      </c>
      <c r="CL51" s="382">
        <f t="shared" si="63"/>
        <v>3294764623.6938152</v>
      </c>
      <c r="CM51" s="319">
        <f t="shared" si="15"/>
        <v>2301287735.6204467</v>
      </c>
      <c r="CN51" s="58"/>
      <c r="CO51" s="58"/>
      <c r="CP51" s="58"/>
      <c r="CQ51" s="58"/>
      <c r="CR51" s="58"/>
      <c r="CS51" s="58"/>
      <c r="CT51" s="58"/>
      <c r="CU51" s="58"/>
      <c r="CV51" s="58"/>
      <c r="CW51" s="58"/>
      <c r="CX51" s="58"/>
      <c r="CY51" s="58"/>
      <c r="CZ51" s="58"/>
      <c r="DA51" s="58"/>
      <c r="DB51" s="58"/>
      <c r="DC51" s="58"/>
      <c r="DD51" s="58"/>
      <c r="DE51" s="58"/>
      <c r="DF51" s="58"/>
      <c r="DG51" s="58"/>
      <c r="DH51" s="58"/>
      <c r="DI51" s="58"/>
      <c r="DJ51" s="58"/>
      <c r="DK51" s="58"/>
      <c r="DL51" s="58"/>
      <c r="DM51" s="58"/>
      <c r="DN51" s="58"/>
      <c r="DO51" s="58"/>
      <c r="DP51" s="58"/>
      <c r="DQ51" s="58"/>
      <c r="DR51" s="58"/>
      <c r="DS51" s="58"/>
      <c r="DT51" s="58"/>
      <c r="DU51" s="58"/>
      <c r="DV51" s="58"/>
      <c r="DW51" s="58"/>
      <c r="DX51" s="58"/>
      <c r="DY51" s="58"/>
      <c r="DZ51" s="58"/>
      <c r="EA51" s="58"/>
      <c r="EB51" s="58"/>
      <c r="EC51" s="58"/>
      <c r="ED51" s="58"/>
      <c r="EE51" s="58"/>
      <c r="EF51" s="58"/>
      <c r="EG51" s="58"/>
      <c r="EH51" s="58"/>
      <c r="EI51" s="58"/>
      <c r="EJ51" s="58"/>
      <c r="EK51" s="58"/>
      <c r="EL51" s="58"/>
      <c r="EM51" s="58"/>
      <c r="EN51" s="58"/>
      <c r="EO51" s="58"/>
      <c r="EP51" s="58"/>
      <c r="EQ51" s="58"/>
      <c r="ER51" s="58"/>
      <c r="ES51" s="58"/>
      <c r="ET51" s="58"/>
      <c r="EU51" s="58"/>
      <c r="EV51" s="58"/>
      <c r="EW51" s="58"/>
      <c r="EX51" s="58"/>
      <c r="EY51" s="58"/>
      <c r="EZ51" s="58"/>
      <c r="FA51" s="58"/>
      <c r="FB51" s="58"/>
      <c r="FC51" s="58"/>
      <c r="FD51" s="58"/>
      <c r="FE51" s="58"/>
      <c r="FF51" s="58"/>
      <c r="FG51" s="58"/>
      <c r="FH51" s="58"/>
      <c r="FI51" s="58"/>
      <c r="FJ51" s="58"/>
      <c r="FK51" s="58"/>
      <c r="FL51" s="58"/>
      <c r="FM51" s="58"/>
      <c r="FN51" s="58"/>
      <c r="FO51" s="58"/>
      <c r="FP51" s="58"/>
      <c r="FQ51" s="58"/>
      <c r="FR51" s="58"/>
      <c r="FS51" s="58"/>
      <c r="FT51" s="58"/>
      <c r="FU51" s="58"/>
      <c r="FV51" s="58"/>
    </row>
    <row r="52" spans="1:178" s="314" customFormat="1">
      <c r="A52" s="463" t="s">
        <v>337</v>
      </c>
      <c r="B52" s="52" t="s">
        <v>312</v>
      </c>
      <c r="C52" s="463"/>
      <c r="D52" s="463"/>
      <c r="E52" s="17"/>
      <c r="F52" s="382" t="s">
        <v>338</v>
      </c>
      <c r="G52" s="465">
        <f t="shared" ref="G52:BR52" si="64">G50/(G2*G12+G13*G3+G4*G14+G15*G5)</f>
        <v>0.65811418691504742</v>
      </c>
      <c r="H52" s="465">
        <f t="shared" si="64"/>
        <v>0.65638221252571372</v>
      </c>
      <c r="I52" s="465">
        <f t="shared" si="64"/>
        <v>0.65070170670237881</v>
      </c>
      <c r="J52" s="465">
        <f t="shared" si="64"/>
        <v>0.64862559333269787</v>
      </c>
      <c r="K52" s="465">
        <f t="shared" si="64"/>
        <v>0.64980195940029684</v>
      </c>
      <c r="L52" s="465">
        <f t="shared" si="64"/>
        <v>0.64978132174617653</v>
      </c>
      <c r="M52" s="465">
        <f t="shared" si="64"/>
        <v>0.64934501340457451</v>
      </c>
      <c r="N52" s="465">
        <f t="shared" si="64"/>
        <v>0.64914235712771939</v>
      </c>
      <c r="O52" s="465">
        <f t="shared" si="64"/>
        <v>0.64885919556892024</v>
      </c>
      <c r="P52" s="465">
        <f t="shared" si="64"/>
        <v>0.6487265393464996</v>
      </c>
      <c r="Q52" s="465">
        <f t="shared" si="64"/>
        <v>0.64845794074262997</v>
      </c>
      <c r="R52" s="465">
        <f t="shared" si="64"/>
        <v>0.64870070301478699</v>
      </c>
      <c r="S52" s="465">
        <f t="shared" si="64"/>
        <v>0.65032691859317426</v>
      </c>
      <c r="T52" s="465">
        <f t="shared" si="64"/>
        <v>0.64768778597454224</v>
      </c>
      <c r="U52" s="465">
        <f t="shared" si="64"/>
        <v>0.65575116291702973</v>
      </c>
      <c r="V52" s="465">
        <f t="shared" si="64"/>
        <v>0.65949682723602543</v>
      </c>
      <c r="W52" s="465">
        <f t="shared" si="64"/>
        <v>0.67470969875153186</v>
      </c>
      <c r="X52" s="465">
        <f t="shared" si="64"/>
        <v>0.65700664138273723</v>
      </c>
      <c r="Y52" s="465">
        <f t="shared" si="64"/>
        <v>0.63211847208536076</v>
      </c>
      <c r="Z52" s="465">
        <f t="shared" si="64"/>
        <v>0.63500622566314935</v>
      </c>
      <c r="AA52" s="465">
        <f t="shared" si="64"/>
        <v>0.63452616971502873</v>
      </c>
      <c r="AB52" s="465">
        <f t="shared" si="64"/>
        <v>0.63089520312977176</v>
      </c>
      <c r="AC52" s="465">
        <f t="shared" si="64"/>
        <v>0.64400504482206988</v>
      </c>
      <c r="AD52" s="465">
        <f t="shared" si="64"/>
        <v>0.63975918223127148</v>
      </c>
      <c r="AE52" s="465">
        <f t="shared" si="64"/>
        <v>0.63567186127482855</v>
      </c>
      <c r="AF52" s="465">
        <f t="shared" si="64"/>
        <v>0.64120036706889283</v>
      </c>
      <c r="AG52" s="465">
        <f t="shared" si="64"/>
        <v>0.64012043660148565</v>
      </c>
      <c r="AH52" s="465">
        <f t="shared" si="64"/>
        <v>0.63630949937031733</v>
      </c>
      <c r="AI52" s="465">
        <f t="shared" si="64"/>
        <v>0.63990405970410846</v>
      </c>
      <c r="AJ52" s="465">
        <f t="shared" si="64"/>
        <v>0.65215883178679668</v>
      </c>
      <c r="AK52" s="465">
        <f t="shared" si="64"/>
        <v>0.65181910843955149</v>
      </c>
      <c r="AL52" s="465">
        <f t="shared" si="64"/>
        <v>0.64975830626553721</v>
      </c>
      <c r="AM52" s="465">
        <f t="shared" si="64"/>
        <v>0.65031333480558751</v>
      </c>
      <c r="AN52" s="465">
        <f t="shared" si="64"/>
        <v>0.652158236903435</v>
      </c>
      <c r="AO52" s="465">
        <f t="shared" si="64"/>
        <v>0.63642769589543369</v>
      </c>
      <c r="AP52" s="465">
        <f t="shared" si="64"/>
        <v>0.64925794130566017</v>
      </c>
      <c r="AQ52" s="465">
        <f t="shared" si="64"/>
        <v>0.65579920522280311</v>
      </c>
      <c r="AR52" s="465">
        <f t="shared" si="64"/>
        <v>0.66059712763092393</v>
      </c>
      <c r="AS52" s="465">
        <f t="shared" si="64"/>
        <v>0.66470024221294288</v>
      </c>
      <c r="AT52" s="465">
        <f t="shared" si="64"/>
        <v>0.65986433352436269</v>
      </c>
      <c r="AU52" s="466">
        <f t="shared" si="64"/>
        <v>0.66435613533097804</v>
      </c>
      <c r="AV52" s="466">
        <f t="shared" si="64"/>
        <v>0.67225604658186366</v>
      </c>
      <c r="AW52" s="466">
        <f t="shared" si="64"/>
        <v>0.6684270810845061</v>
      </c>
      <c r="AX52" s="466">
        <f t="shared" si="64"/>
        <v>0.64781533921628387</v>
      </c>
      <c r="AY52" s="466">
        <f t="shared" si="64"/>
        <v>0.66598515628806509</v>
      </c>
      <c r="AZ52" s="466">
        <f t="shared" si="64"/>
        <v>0.67077290305694659</v>
      </c>
      <c r="BA52" s="466">
        <f t="shared" si="64"/>
        <v>0.67090122584888623</v>
      </c>
      <c r="BB52" s="466">
        <f t="shared" si="64"/>
        <v>0.66713162908636048</v>
      </c>
      <c r="BC52" s="466">
        <f t="shared" si="64"/>
        <v>0.64004096967597268</v>
      </c>
      <c r="BD52" s="466">
        <f t="shared" si="64"/>
        <v>0.64898437885431781</v>
      </c>
      <c r="BE52" s="466">
        <f t="shared" si="64"/>
        <v>0.65761244814938824</v>
      </c>
      <c r="BF52" s="466">
        <f t="shared" si="64"/>
        <v>0.65817373414295743</v>
      </c>
      <c r="BG52" s="466">
        <f t="shared" si="64"/>
        <v>0.65101536624097378</v>
      </c>
      <c r="BH52" s="466">
        <f t="shared" si="64"/>
        <v>0.64867818426360258</v>
      </c>
      <c r="BI52" s="466">
        <f t="shared" si="64"/>
        <v>0.64757305571623625</v>
      </c>
      <c r="BJ52" s="466">
        <f t="shared" si="64"/>
        <v>0.64794772420316549</v>
      </c>
      <c r="BK52" s="466">
        <f t="shared" si="64"/>
        <v>0.65915479378397845</v>
      </c>
      <c r="BL52" s="466">
        <f t="shared" si="64"/>
        <v>0.65730906674440992</v>
      </c>
      <c r="BM52" s="466">
        <f t="shared" si="64"/>
        <v>0.66214192950174811</v>
      </c>
      <c r="BN52" s="466">
        <f t="shared" si="64"/>
        <v>0.65753134541278402</v>
      </c>
      <c r="BO52" s="466">
        <f t="shared" si="64"/>
        <v>0.64966217637808821</v>
      </c>
      <c r="BP52" s="466">
        <f t="shared" si="64"/>
        <v>0.64947620609964962</v>
      </c>
      <c r="BQ52" s="466">
        <f t="shared" si="64"/>
        <v>0.64648187337501772</v>
      </c>
      <c r="BR52" s="466">
        <f t="shared" si="64"/>
        <v>0.64806054056282769</v>
      </c>
      <c r="BS52" s="466">
        <f t="shared" ref="BS52:CL52" si="65">BS50/(BS2*BS12+BS13*BS3+BS4*BS14+BS15*BS5)</f>
        <v>0.65434521923143718</v>
      </c>
      <c r="BT52" s="466">
        <f t="shared" si="65"/>
        <v>0.67561009830171437</v>
      </c>
      <c r="BU52" s="466">
        <f t="shared" si="65"/>
        <v>0.6390433626395442</v>
      </c>
      <c r="BV52" s="466">
        <f t="shared" si="65"/>
        <v>0.64537243411158662</v>
      </c>
      <c r="BW52" s="466">
        <f t="shared" si="65"/>
        <v>0.64187425856074909</v>
      </c>
      <c r="BX52" s="466">
        <f t="shared" si="65"/>
        <v>0.65620519121929133</v>
      </c>
      <c r="BY52" s="466">
        <f t="shared" si="65"/>
        <v>0.65677138991782513</v>
      </c>
      <c r="BZ52" s="466">
        <f t="shared" si="65"/>
        <v>0.6608452511584324</v>
      </c>
      <c r="CA52" s="466">
        <f t="shared" si="65"/>
        <v>0.66182745442174429</v>
      </c>
      <c r="CB52" s="466">
        <f t="shared" si="65"/>
        <v>0.65058532415593384</v>
      </c>
      <c r="CC52" s="466">
        <f t="shared" si="65"/>
        <v>0.64724152652009781</v>
      </c>
      <c r="CD52" s="466">
        <f t="shared" si="65"/>
        <v>0.63956750709275612</v>
      </c>
      <c r="CE52" s="466">
        <f t="shared" si="65"/>
        <v>0.63667425006632561</v>
      </c>
      <c r="CF52" s="466">
        <f t="shared" si="65"/>
        <v>0.63444215730999576</v>
      </c>
      <c r="CG52" s="466">
        <f t="shared" si="65"/>
        <v>0.63549487010623751</v>
      </c>
      <c r="CH52" s="466">
        <f t="shared" si="65"/>
        <v>0.63412260481211402</v>
      </c>
      <c r="CI52" s="466">
        <f t="shared" si="65"/>
        <v>0.63081301355546471</v>
      </c>
      <c r="CJ52" s="466">
        <f t="shared" si="65"/>
        <v>0.62884392554609525</v>
      </c>
      <c r="CK52" s="466">
        <f t="shared" si="65"/>
        <v>0.62889681077665771</v>
      </c>
      <c r="CL52" s="467">
        <f t="shared" si="65"/>
        <v>0.62813351424040975</v>
      </c>
      <c r="CM52" s="468">
        <f t="shared" si="15"/>
        <v>0.64985938242482411</v>
      </c>
      <c r="CN52" s="17"/>
      <c r="CO52" s="17"/>
      <c r="CP52" s="17"/>
      <c r="CQ52" s="17"/>
      <c r="CR52" s="17"/>
      <c r="CS52" s="17"/>
      <c r="CT52" s="17"/>
      <c r="CU52" s="17"/>
      <c r="CV52" s="17"/>
      <c r="CW52" s="17"/>
      <c r="CX52" s="17"/>
      <c r="CY52" s="17"/>
      <c r="CZ52" s="17"/>
      <c r="DA52" s="17"/>
      <c r="DB52" s="17"/>
      <c r="DC52" s="17"/>
      <c r="DD52" s="17"/>
      <c r="DE52" s="17"/>
      <c r="DF52" s="17"/>
      <c r="DG52" s="17"/>
      <c r="DH52" s="17"/>
      <c r="DI52" s="17"/>
      <c r="DJ52" s="17"/>
      <c r="DK52" s="17"/>
      <c r="DL52" s="17"/>
      <c r="DM52" s="17"/>
      <c r="DN52" s="17"/>
      <c r="DO52" s="17"/>
      <c r="DP52" s="17"/>
      <c r="DQ52" s="17"/>
      <c r="DR52" s="17"/>
      <c r="DS52" s="17"/>
      <c r="DT52" s="17"/>
      <c r="DU52" s="17"/>
      <c r="DV52" s="17"/>
      <c r="DW52" s="17"/>
      <c r="DX52" s="17"/>
      <c r="DY52" s="17"/>
      <c r="DZ52" s="17"/>
      <c r="EA52" s="17"/>
      <c r="EB52" s="17"/>
      <c r="EC52" s="17"/>
      <c r="ED52" s="17"/>
      <c r="EE52" s="17"/>
      <c r="EF52" s="17"/>
      <c r="EG52" s="17"/>
      <c r="EH52" s="17"/>
      <c r="EI52" s="17"/>
      <c r="EJ52" s="17"/>
      <c r="EK52" s="17"/>
      <c r="EL52" s="17"/>
      <c r="EM52" s="17"/>
      <c r="EN52" s="17"/>
      <c r="EO52" s="17"/>
      <c r="EP52" s="17"/>
      <c r="EQ52" s="17"/>
      <c r="ER52" s="17"/>
      <c r="ES52" s="17"/>
      <c r="ET52" s="17"/>
      <c r="EU52" s="17"/>
      <c r="EV52" s="17"/>
      <c r="EW52" s="17"/>
      <c r="EX52" s="17"/>
      <c r="EY52" s="17"/>
      <c r="EZ52" s="17"/>
      <c r="FA52" s="17"/>
      <c r="FB52" s="17"/>
      <c r="FC52" s="17"/>
      <c r="FD52" s="17"/>
      <c r="FE52" s="17"/>
      <c r="FF52" s="17"/>
      <c r="FG52" s="17"/>
      <c r="FH52" s="17"/>
      <c r="FI52" s="17"/>
      <c r="FJ52" s="17"/>
      <c r="FK52" s="17"/>
      <c r="FL52" s="17"/>
      <c r="FM52" s="17"/>
      <c r="FN52" s="17"/>
      <c r="FO52" s="17"/>
      <c r="FP52" s="17"/>
      <c r="FQ52" s="17"/>
      <c r="FR52" s="17"/>
      <c r="FS52" s="17"/>
      <c r="FT52" s="17"/>
      <c r="FU52" s="17"/>
      <c r="FV52" s="17"/>
    </row>
    <row r="53" spans="1:178">
      <c r="A53" s="463" t="s">
        <v>337</v>
      </c>
      <c r="B53" s="52" t="s">
        <v>312</v>
      </c>
      <c r="C53" s="362"/>
      <c r="D53" s="362"/>
      <c r="E53" s="58"/>
      <c r="F53" s="382" t="s">
        <v>339</v>
      </c>
      <c r="G53" s="465">
        <f t="shared" ref="G53:BR53" si="66">G51/(G2*G12+G13*G3+G4*G14+G15*G5)</f>
        <v>0.34188581308495242</v>
      </c>
      <c r="H53" s="465">
        <f t="shared" si="66"/>
        <v>0.34361778747428617</v>
      </c>
      <c r="I53" s="465">
        <f t="shared" si="66"/>
        <v>0.34929829329762108</v>
      </c>
      <c r="J53" s="465">
        <f t="shared" si="66"/>
        <v>0.35137440666730196</v>
      </c>
      <c r="K53" s="465">
        <f t="shared" si="66"/>
        <v>0.35019804059970322</v>
      </c>
      <c r="L53" s="465">
        <f t="shared" si="66"/>
        <v>0.35021867825382358</v>
      </c>
      <c r="M53" s="465">
        <f t="shared" si="66"/>
        <v>0.35065498659542543</v>
      </c>
      <c r="N53" s="465">
        <f t="shared" si="66"/>
        <v>0.3508576428722805</v>
      </c>
      <c r="O53" s="465">
        <f t="shared" si="66"/>
        <v>0.35114080443107976</v>
      </c>
      <c r="P53" s="465">
        <f t="shared" si="66"/>
        <v>0.3512734606535004</v>
      </c>
      <c r="Q53" s="465">
        <f t="shared" si="66"/>
        <v>0.35154205925737009</v>
      </c>
      <c r="R53" s="465">
        <f t="shared" si="66"/>
        <v>0.35129929698521289</v>
      </c>
      <c r="S53" s="465">
        <f t="shared" si="66"/>
        <v>0.34967308140682568</v>
      </c>
      <c r="T53" s="465">
        <f t="shared" si="66"/>
        <v>0.35231221402545765</v>
      </c>
      <c r="U53" s="465">
        <f t="shared" si="66"/>
        <v>0.34424883708297033</v>
      </c>
      <c r="V53" s="465">
        <f t="shared" si="66"/>
        <v>0.34050317276397457</v>
      </c>
      <c r="W53" s="465">
        <f t="shared" si="66"/>
        <v>0.32529030124846808</v>
      </c>
      <c r="X53" s="465">
        <f t="shared" si="66"/>
        <v>0.34299335861726277</v>
      </c>
      <c r="Y53" s="465">
        <f t="shared" si="66"/>
        <v>0.36788152791463913</v>
      </c>
      <c r="Z53" s="465">
        <f t="shared" si="66"/>
        <v>0.36499377433685071</v>
      </c>
      <c r="AA53" s="465">
        <f t="shared" si="66"/>
        <v>0.36547383028497143</v>
      </c>
      <c r="AB53" s="465">
        <f t="shared" si="66"/>
        <v>0.36910479687022812</v>
      </c>
      <c r="AC53" s="465">
        <f t="shared" si="66"/>
        <v>0.35599495517793017</v>
      </c>
      <c r="AD53" s="465">
        <f t="shared" si="66"/>
        <v>0.36024081776872846</v>
      </c>
      <c r="AE53" s="465">
        <f t="shared" si="66"/>
        <v>0.36432813872517156</v>
      </c>
      <c r="AF53" s="465">
        <f t="shared" si="66"/>
        <v>0.35879963293110728</v>
      </c>
      <c r="AG53" s="465">
        <f t="shared" si="66"/>
        <v>0.35987956339851429</v>
      </c>
      <c r="AH53" s="465">
        <f t="shared" si="66"/>
        <v>0.36369050062968267</v>
      </c>
      <c r="AI53" s="465">
        <f t="shared" si="66"/>
        <v>0.36009594029589154</v>
      </c>
      <c r="AJ53" s="465">
        <f t="shared" si="66"/>
        <v>0.34784116821320316</v>
      </c>
      <c r="AK53" s="465">
        <f t="shared" si="66"/>
        <v>0.34818089156044851</v>
      </c>
      <c r="AL53" s="465">
        <f t="shared" si="66"/>
        <v>0.35024169373446273</v>
      </c>
      <c r="AM53" s="465">
        <f t="shared" si="66"/>
        <v>0.34968666519441255</v>
      </c>
      <c r="AN53" s="465">
        <f t="shared" si="66"/>
        <v>0.347841763096565</v>
      </c>
      <c r="AO53" s="465">
        <f t="shared" si="66"/>
        <v>0.36357230410456642</v>
      </c>
      <c r="AP53" s="465">
        <f t="shared" si="66"/>
        <v>0.35074205869433983</v>
      </c>
      <c r="AQ53" s="465">
        <f t="shared" si="66"/>
        <v>0.34420079477719695</v>
      </c>
      <c r="AR53" s="465">
        <f t="shared" si="66"/>
        <v>0.33940287236907607</v>
      </c>
      <c r="AS53" s="465">
        <f t="shared" si="66"/>
        <v>0.33529975778705706</v>
      </c>
      <c r="AT53" s="465">
        <f t="shared" si="66"/>
        <v>0.34013566647563731</v>
      </c>
      <c r="AU53" s="466">
        <f t="shared" si="66"/>
        <v>0.33564386466902207</v>
      </c>
      <c r="AV53" s="466">
        <f t="shared" si="66"/>
        <v>0.32774395341813639</v>
      </c>
      <c r="AW53" s="466">
        <f t="shared" si="66"/>
        <v>0.33157291891549384</v>
      </c>
      <c r="AX53" s="466">
        <f t="shared" si="66"/>
        <v>0.35218466078371613</v>
      </c>
      <c r="AY53" s="466">
        <f t="shared" si="66"/>
        <v>0.33401484371193496</v>
      </c>
      <c r="AZ53" s="466">
        <f t="shared" si="66"/>
        <v>0.32922709694305335</v>
      </c>
      <c r="BA53" s="466">
        <f t="shared" si="66"/>
        <v>0.32909877415111377</v>
      </c>
      <c r="BB53" s="466">
        <f t="shared" si="66"/>
        <v>0.33286837091363952</v>
      </c>
      <c r="BC53" s="466">
        <f t="shared" si="66"/>
        <v>0.35995903032402715</v>
      </c>
      <c r="BD53" s="466">
        <f t="shared" si="66"/>
        <v>0.35101562114568224</v>
      </c>
      <c r="BE53" s="466">
        <f t="shared" si="66"/>
        <v>0.34238755185061182</v>
      </c>
      <c r="BF53" s="466">
        <f t="shared" si="66"/>
        <v>0.34182626585704257</v>
      </c>
      <c r="BG53" s="466">
        <f t="shared" si="66"/>
        <v>0.34898463375902639</v>
      </c>
      <c r="BH53" s="466">
        <f t="shared" si="66"/>
        <v>0.35132181573639754</v>
      </c>
      <c r="BI53" s="466">
        <f t="shared" si="66"/>
        <v>0.35242694428376381</v>
      </c>
      <c r="BJ53" s="466">
        <f t="shared" si="66"/>
        <v>0.35205227579683446</v>
      </c>
      <c r="BK53" s="466">
        <f t="shared" si="66"/>
        <v>0.34084520621602171</v>
      </c>
      <c r="BL53" s="466">
        <f t="shared" si="66"/>
        <v>0.34269093325559025</v>
      </c>
      <c r="BM53" s="466">
        <f t="shared" si="66"/>
        <v>0.33785807049825201</v>
      </c>
      <c r="BN53" s="466">
        <f t="shared" si="66"/>
        <v>0.34246865458721593</v>
      </c>
      <c r="BO53" s="466">
        <f t="shared" si="66"/>
        <v>0.35033782362191168</v>
      </c>
      <c r="BP53" s="466">
        <f t="shared" si="66"/>
        <v>0.35052379390035043</v>
      </c>
      <c r="BQ53" s="466">
        <f t="shared" si="66"/>
        <v>0.35351812662498244</v>
      </c>
      <c r="BR53" s="466">
        <f t="shared" si="66"/>
        <v>0.35193945943717236</v>
      </c>
      <c r="BS53" s="466">
        <f t="shared" ref="BS53:CL53" si="67">BS51/(BS2*BS12+BS13*BS3+BS4*BS14+BS15*BS5)</f>
        <v>0.34565478076856299</v>
      </c>
      <c r="BT53" s="466">
        <f t="shared" si="67"/>
        <v>0.32438990169828569</v>
      </c>
      <c r="BU53" s="466">
        <f t="shared" si="67"/>
        <v>0.3609566373604558</v>
      </c>
      <c r="BV53" s="466">
        <f t="shared" si="67"/>
        <v>0.35462756588841327</v>
      </c>
      <c r="BW53" s="466">
        <f t="shared" si="67"/>
        <v>0.35812574143925097</v>
      </c>
      <c r="BX53" s="466">
        <f t="shared" si="67"/>
        <v>0.34379480878070856</v>
      </c>
      <c r="BY53" s="466">
        <f t="shared" si="67"/>
        <v>0.34322861008217481</v>
      </c>
      <c r="BZ53" s="466">
        <f t="shared" si="67"/>
        <v>0.33915474884156749</v>
      </c>
      <c r="CA53" s="466">
        <f t="shared" si="67"/>
        <v>0.33817254557825577</v>
      </c>
      <c r="CB53" s="466">
        <f t="shared" si="67"/>
        <v>0.3494146758440661</v>
      </c>
      <c r="CC53" s="466">
        <f t="shared" si="67"/>
        <v>0.35275847347990219</v>
      </c>
      <c r="CD53" s="466">
        <f t="shared" si="67"/>
        <v>0.36043249290724388</v>
      </c>
      <c r="CE53" s="466">
        <f t="shared" si="67"/>
        <v>0.3633257499336745</v>
      </c>
      <c r="CF53" s="466">
        <f t="shared" si="67"/>
        <v>0.36555784269000419</v>
      </c>
      <c r="CG53" s="466">
        <f t="shared" si="67"/>
        <v>0.3645051298937626</v>
      </c>
      <c r="CH53" s="466">
        <f t="shared" si="67"/>
        <v>0.36587739518788598</v>
      </c>
      <c r="CI53" s="466">
        <f t="shared" si="67"/>
        <v>0.36918698644453518</v>
      </c>
      <c r="CJ53" s="466">
        <f t="shared" si="67"/>
        <v>0.37115607445390475</v>
      </c>
      <c r="CK53" s="466">
        <f t="shared" si="67"/>
        <v>0.37110318922334246</v>
      </c>
      <c r="CL53" s="467">
        <f t="shared" si="67"/>
        <v>0.37186648575959019</v>
      </c>
      <c r="CM53" s="469">
        <f t="shared" si="15"/>
        <v>0.35014061757517601</v>
      </c>
      <c r="CN53" s="58"/>
      <c r="CO53" s="58"/>
      <c r="CP53" s="58"/>
      <c r="CQ53" s="58"/>
      <c r="CR53" s="58"/>
      <c r="CS53" s="58"/>
      <c r="CT53" s="58"/>
      <c r="CU53" s="58"/>
      <c r="CV53" s="58"/>
      <c r="CW53" s="58"/>
      <c r="CX53" s="58"/>
      <c r="CY53" s="58"/>
      <c r="CZ53" s="58"/>
      <c r="DA53" s="58"/>
      <c r="DB53" s="58"/>
      <c r="DC53" s="58"/>
      <c r="DD53" s="58"/>
      <c r="DE53" s="58"/>
      <c r="DF53" s="58"/>
      <c r="DG53" s="58"/>
      <c r="DH53" s="58"/>
      <c r="DI53" s="58"/>
      <c r="DJ53" s="58"/>
      <c r="DK53" s="58"/>
      <c r="DL53" s="58"/>
      <c r="DM53" s="58"/>
      <c r="DN53" s="58"/>
      <c r="DO53" s="58"/>
      <c r="DP53" s="58"/>
      <c r="DQ53" s="58"/>
      <c r="DR53" s="58"/>
      <c r="DS53" s="58"/>
      <c r="DT53" s="58"/>
      <c r="DU53" s="58"/>
      <c r="DV53" s="58"/>
      <c r="DW53" s="58"/>
      <c r="DX53" s="58"/>
      <c r="DY53" s="58"/>
      <c r="DZ53" s="58"/>
      <c r="EA53" s="58"/>
      <c r="EB53" s="58"/>
      <c r="EC53" s="58"/>
      <c r="ED53" s="58"/>
      <c r="EE53" s="58"/>
      <c r="EF53" s="58"/>
      <c r="EG53" s="58"/>
      <c r="EH53" s="58"/>
      <c r="EI53" s="58"/>
      <c r="EJ53" s="58"/>
      <c r="EK53" s="58"/>
      <c r="EL53" s="58"/>
      <c r="EM53" s="58"/>
      <c r="EN53" s="58"/>
      <c r="EO53" s="58"/>
      <c r="EP53" s="58"/>
      <c r="EQ53" s="58"/>
      <c r="ER53" s="58"/>
      <c r="ES53" s="58"/>
      <c r="ET53" s="58"/>
      <c r="EU53" s="58"/>
      <c r="EV53" s="58"/>
      <c r="EW53" s="58"/>
      <c r="EX53" s="58"/>
      <c r="EY53" s="58"/>
      <c r="EZ53" s="58"/>
      <c r="FA53" s="58"/>
      <c r="FB53" s="58"/>
      <c r="FC53" s="58"/>
      <c r="FD53" s="58"/>
      <c r="FE53" s="58"/>
      <c r="FF53" s="58"/>
      <c r="FG53" s="58"/>
      <c r="FH53" s="58"/>
      <c r="FI53" s="58"/>
      <c r="FJ53" s="58"/>
      <c r="FK53" s="58"/>
      <c r="FL53" s="58"/>
      <c r="FM53" s="58"/>
      <c r="FN53" s="58"/>
      <c r="FO53" s="58"/>
      <c r="FP53" s="58"/>
      <c r="FQ53" s="58"/>
      <c r="FR53" s="58"/>
      <c r="FS53" s="58"/>
      <c r="FT53" s="58"/>
      <c r="FU53" s="58"/>
      <c r="FV53" s="58"/>
    </row>
    <row r="54" spans="1:178">
      <c r="A54" s="463" t="s">
        <v>340</v>
      </c>
      <c r="B54" s="52" t="s">
        <v>312</v>
      </c>
      <c r="C54" s="362" t="s">
        <v>326</v>
      </c>
      <c r="D54" s="362"/>
      <c r="E54" s="58"/>
      <c r="F54" s="382" t="s">
        <v>341</v>
      </c>
      <c r="G54" s="464">
        <f t="shared" ref="G54:BR54" si="68">G7*G18+G8*G19+G9*G20+G10*G21+G11*G22</f>
        <v>2037742312.5858335</v>
      </c>
      <c r="H54" s="464">
        <f t="shared" si="68"/>
        <v>2004487187.8326516</v>
      </c>
      <c r="I54" s="464">
        <f t="shared" si="68"/>
        <v>2014653441.6044705</v>
      </c>
      <c r="J54" s="464">
        <f t="shared" si="68"/>
        <v>2026887380.0679541</v>
      </c>
      <c r="K54" s="464">
        <f t="shared" si="68"/>
        <v>2000927324.3897731</v>
      </c>
      <c r="L54" s="464">
        <f t="shared" si="68"/>
        <v>2047278060.2657576</v>
      </c>
      <c r="M54" s="464">
        <f t="shared" si="68"/>
        <v>2012872747.8584099</v>
      </c>
      <c r="N54" s="464">
        <f t="shared" si="68"/>
        <v>2057459927.7427278</v>
      </c>
      <c r="O54" s="464">
        <f t="shared" si="68"/>
        <v>1971801348.4187121</v>
      </c>
      <c r="P54" s="464">
        <f t="shared" si="68"/>
        <v>2015806801.7613637</v>
      </c>
      <c r="Q54" s="464">
        <f t="shared" si="68"/>
        <v>1966507222.504015</v>
      </c>
      <c r="R54" s="464">
        <f t="shared" si="68"/>
        <v>1874677230.9008334</v>
      </c>
      <c r="S54" s="464">
        <f t="shared" si="68"/>
        <v>1895889517.9911253</v>
      </c>
      <c r="T54" s="464">
        <f t="shared" si="68"/>
        <v>1887912148.5953751</v>
      </c>
      <c r="U54" s="464">
        <f t="shared" si="68"/>
        <v>1789885710.7045832</v>
      </c>
      <c r="V54" s="464">
        <f t="shared" si="68"/>
        <v>1861827036.9979165</v>
      </c>
      <c r="W54" s="464">
        <f t="shared" si="68"/>
        <v>1715154407.09375</v>
      </c>
      <c r="X54" s="464">
        <f t="shared" si="68"/>
        <v>1726058726.0041666</v>
      </c>
      <c r="Y54" s="464">
        <f t="shared" si="68"/>
        <v>1798306415.1297085</v>
      </c>
      <c r="Z54" s="464">
        <f t="shared" si="68"/>
        <v>1786976779.0999999</v>
      </c>
      <c r="AA54" s="464">
        <f t="shared" si="68"/>
        <v>1807355196.8125</v>
      </c>
      <c r="AB54" s="464">
        <f t="shared" si="68"/>
        <v>1845387679.1031668</v>
      </c>
      <c r="AC54" s="464">
        <f t="shared" si="68"/>
        <v>1858262636.1089582</v>
      </c>
      <c r="AD54" s="464">
        <f t="shared" si="68"/>
        <v>1814898549.0958333</v>
      </c>
      <c r="AE54" s="464">
        <f t="shared" si="68"/>
        <v>1817404128.0766251</v>
      </c>
      <c r="AF54" s="464">
        <f t="shared" si="68"/>
        <v>1813467216.3273752</v>
      </c>
      <c r="AG54" s="464">
        <f t="shared" si="68"/>
        <v>1867648981.0604167</v>
      </c>
      <c r="AH54" s="464">
        <f t="shared" si="68"/>
        <v>1927196753.0917497</v>
      </c>
      <c r="AI54" s="464">
        <f t="shared" si="68"/>
        <v>2042528163.8791666</v>
      </c>
      <c r="AJ54" s="464">
        <f t="shared" si="68"/>
        <v>2003527361.9104166</v>
      </c>
      <c r="AK54" s="464">
        <f t="shared" si="68"/>
        <v>2103634511.3818753</v>
      </c>
      <c r="AL54" s="464">
        <f t="shared" si="68"/>
        <v>2057631198.8333333</v>
      </c>
      <c r="AM54" s="464">
        <f t="shared" si="68"/>
        <v>2022839562.8458335</v>
      </c>
      <c r="AN54" s="464">
        <f t="shared" si="68"/>
        <v>2049292912.8553333</v>
      </c>
      <c r="AO54" s="464">
        <f t="shared" si="68"/>
        <v>1984243761.354167</v>
      </c>
      <c r="AP54" s="464">
        <f t="shared" si="68"/>
        <v>1981677279.1391666</v>
      </c>
      <c r="AQ54" s="464">
        <f t="shared" si="68"/>
        <v>2015557808.8287921</v>
      </c>
      <c r="AR54" s="464">
        <f t="shared" si="68"/>
        <v>1934825852.9572918</v>
      </c>
      <c r="AS54" s="464">
        <f t="shared" si="68"/>
        <v>2027939760.5647502</v>
      </c>
      <c r="AT54" s="464">
        <f t="shared" si="68"/>
        <v>2072400390.4855831</v>
      </c>
      <c r="AU54" s="376">
        <f t="shared" si="68"/>
        <v>2207206555.3305416</v>
      </c>
      <c r="AV54" s="376">
        <f t="shared" si="68"/>
        <v>2265637505.8129997</v>
      </c>
      <c r="AW54" s="376">
        <f t="shared" si="68"/>
        <v>2301275085.3630829</v>
      </c>
      <c r="AX54" s="376">
        <f t="shared" si="68"/>
        <v>2330775518.9318748</v>
      </c>
      <c r="AY54" s="376">
        <f t="shared" si="68"/>
        <v>2702390177.356833</v>
      </c>
      <c r="AZ54" s="376">
        <f t="shared" si="68"/>
        <v>2678390885.2727499</v>
      </c>
      <c r="BA54" s="376">
        <f t="shared" si="68"/>
        <v>2682186994.5336246</v>
      </c>
      <c r="BB54" s="376">
        <f t="shared" si="68"/>
        <v>2817850150.9139166</v>
      </c>
      <c r="BC54" s="376">
        <f t="shared" si="68"/>
        <v>2770368737.7904162</v>
      </c>
      <c r="BD54" s="376">
        <f t="shared" si="68"/>
        <v>2524376986.7148333</v>
      </c>
      <c r="BE54" s="376">
        <f t="shared" si="68"/>
        <v>2128510585.4711249</v>
      </c>
      <c r="BF54" s="376">
        <f t="shared" si="68"/>
        <v>1978039677.6408331</v>
      </c>
      <c r="BG54" s="376">
        <f t="shared" si="68"/>
        <v>1972876626.4758747</v>
      </c>
      <c r="BH54" s="376">
        <f t="shared" si="68"/>
        <v>2031401552.5521665</v>
      </c>
      <c r="BI54" s="376">
        <f t="shared" si="68"/>
        <v>2014901611.4142499</v>
      </c>
      <c r="BJ54" s="376">
        <f t="shared" si="68"/>
        <v>1988620048.1518748</v>
      </c>
      <c r="BK54" s="376">
        <f t="shared" si="68"/>
        <v>2038945434.3624997</v>
      </c>
      <c r="BL54" s="376">
        <f t="shared" si="68"/>
        <v>2005691562.9541664</v>
      </c>
      <c r="BM54" s="376">
        <f t="shared" si="68"/>
        <v>2105875756.5999999</v>
      </c>
      <c r="BN54" s="376">
        <f t="shared" si="68"/>
        <v>2150303613.958333</v>
      </c>
      <c r="BO54" s="376">
        <f t="shared" si="68"/>
        <v>2263927349.9499998</v>
      </c>
      <c r="BP54" s="376">
        <f t="shared" si="68"/>
        <v>2148390801.5458331</v>
      </c>
      <c r="BQ54" s="376">
        <f t="shared" si="68"/>
        <v>1952333974.1083331</v>
      </c>
      <c r="BR54" s="376">
        <f t="shared" si="68"/>
        <v>2080553192.2583332</v>
      </c>
      <c r="BS54" s="376">
        <f t="shared" ref="BS54:CL54" si="69">BS7*BS18+BS8*BS19+BS9*BS20+BS10*BS21+BS11*BS22</f>
        <v>2095757397.1374998</v>
      </c>
      <c r="BT54" s="376">
        <f t="shared" si="69"/>
        <v>1892485148.6666665</v>
      </c>
      <c r="BU54" s="376">
        <f t="shared" si="69"/>
        <v>1461954475.2624998</v>
      </c>
      <c r="BV54" s="376">
        <f t="shared" si="69"/>
        <v>935025666.21666658</v>
      </c>
      <c r="BW54" s="376">
        <f t="shared" si="69"/>
        <v>1030553266.6999999</v>
      </c>
      <c r="BX54" s="376">
        <f t="shared" si="69"/>
        <v>1264661862.5041666</v>
      </c>
      <c r="BY54" s="376">
        <f t="shared" si="69"/>
        <v>1365135990.9083333</v>
      </c>
      <c r="BZ54" s="376">
        <f t="shared" si="69"/>
        <v>1508754913.0249999</v>
      </c>
      <c r="CA54" s="376">
        <f t="shared" si="69"/>
        <v>1588397759.3374999</v>
      </c>
      <c r="CB54" s="376">
        <f t="shared" si="69"/>
        <v>1752964189.3625</v>
      </c>
      <c r="CC54" s="376">
        <f t="shared" si="69"/>
        <v>2084897173.8499999</v>
      </c>
      <c r="CD54" s="376">
        <f t="shared" si="69"/>
        <v>2130776409.7624998</v>
      </c>
      <c r="CE54" s="376">
        <f t="shared" si="69"/>
        <v>1945053026.6958332</v>
      </c>
      <c r="CF54" s="376">
        <f t="shared" si="69"/>
        <v>2094339516.5083332</v>
      </c>
      <c r="CG54" s="376">
        <f t="shared" si="69"/>
        <v>2420797427.7791662</v>
      </c>
      <c r="CH54" s="376">
        <f t="shared" si="69"/>
        <v>2396454181.3458333</v>
      </c>
      <c r="CI54" s="376">
        <f t="shared" si="69"/>
        <v>2504668061.5333333</v>
      </c>
      <c r="CJ54" s="376">
        <f t="shared" si="69"/>
        <v>2673180238.7716665</v>
      </c>
      <c r="CK54" s="376">
        <f t="shared" si="69"/>
        <v>2998788117.4987497</v>
      </c>
      <c r="CL54" s="382">
        <f t="shared" si="69"/>
        <v>2972134784.3033333</v>
      </c>
      <c r="CM54" s="75">
        <f t="shared" si="15"/>
        <v>2033314778.8678041</v>
      </c>
      <c r="CN54" s="58"/>
      <c r="CO54" s="58"/>
      <c r="CP54" s="58"/>
      <c r="CQ54" s="58"/>
      <c r="CR54" s="58"/>
      <c r="CS54" s="58"/>
      <c r="CT54" s="58"/>
      <c r="CU54" s="58"/>
      <c r="CV54" s="58"/>
      <c r="CW54" s="58"/>
      <c r="CX54" s="58"/>
      <c r="CY54" s="58"/>
      <c r="CZ54" s="58"/>
      <c r="DA54" s="58"/>
      <c r="DB54" s="58"/>
      <c r="DC54" s="58"/>
      <c r="DD54" s="58"/>
      <c r="DE54" s="58"/>
      <c r="DF54" s="58"/>
      <c r="DG54" s="58"/>
      <c r="DH54" s="58"/>
      <c r="DI54" s="58"/>
      <c r="DJ54" s="58"/>
      <c r="DK54" s="58"/>
      <c r="DL54" s="58"/>
      <c r="DM54" s="58"/>
      <c r="DN54" s="58"/>
      <c r="DO54" s="58"/>
      <c r="DP54" s="58"/>
      <c r="DQ54" s="58"/>
      <c r="DR54" s="58"/>
      <c r="DS54" s="58"/>
      <c r="DT54" s="58"/>
      <c r="DU54" s="58"/>
      <c r="DV54" s="58"/>
      <c r="DW54" s="58"/>
      <c r="DX54" s="58"/>
      <c r="DY54" s="58"/>
      <c r="DZ54" s="58"/>
      <c r="EA54" s="58"/>
      <c r="EB54" s="58"/>
      <c r="EC54" s="58"/>
      <c r="ED54" s="58"/>
      <c r="EE54" s="58"/>
      <c r="EF54" s="58"/>
      <c r="EG54" s="58"/>
      <c r="EH54" s="58"/>
      <c r="EI54" s="58"/>
      <c r="EJ54" s="58"/>
      <c r="EK54" s="58"/>
      <c r="EL54" s="58"/>
      <c r="EM54" s="58"/>
      <c r="EN54" s="58"/>
      <c r="EO54" s="58"/>
      <c r="EP54" s="58"/>
      <c r="EQ54" s="58"/>
      <c r="ER54" s="58"/>
      <c r="ES54" s="58"/>
      <c r="ET54" s="58"/>
      <c r="EU54" s="58"/>
      <c r="EV54" s="58"/>
      <c r="EW54" s="58"/>
      <c r="EX54" s="58"/>
      <c r="EY54" s="58"/>
      <c r="EZ54" s="58"/>
      <c r="FA54" s="58"/>
      <c r="FB54" s="58"/>
      <c r="FC54" s="58"/>
      <c r="FD54" s="58"/>
      <c r="FE54" s="58"/>
      <c r="FF54" s="58"/>
      <c r="FG54" s="58"/>
      <c r="FH54" s="58"/>
      <c r="FI54" s="58"/>
      <c r="FJ54" s="58"/>
      <c r="FK54" s="58"/>
      <c r="FL54" s="58"/>
      <c r="FM54" s="58"/>
      <c r="FN54" s="58"/>
      <c r="FO54" s="58"/>
      <c r="FP54" s="58"/>
      <c r="FQ54" s="58"/>
      <c r="FR54" s="58"/>
      <c r="FS54" s="58"/>
      <c r="FT54" s="58"/>
      <c r="FU54" s="58"/>
      <c r="FV54" s="58"/>
    </row>
    <row r="55" spans="1:178">
      <c r="A55" s="457" t="s">
        <v>342</v>
      </c>
      <c r="B55" s="53" t="s">
        <v>312</v>
      </c>
      <c r="C55" s="367" t="s">
        <v>326</v>
      </c>
      <c r="D55" s="367"/>
      <c r="E55" s="236"/>
      <c r="F55" s="389" t="s">
        <v>182</v>
      </c>
      <c r="G55" s="470">
        <f t="shared" ref="G55:BR55" si="70">G23*G2+G3*G24+G25*G4+G5*G26+G27*CP41</f>
        <v>1235992598.4236138</v>
      </c>
      <c r="H55" s="470">
        <f t="shared" si="70"/>
        <v>1232547901.5952804</v>
      </c>
      <c r="I55" s="470">
        <f t="shared" si="70"/>
        <v>1126668414.3886137</v>
      </c>
      <c r="J55" s="470">
        <f t="shared" si="70"/>
        <v>1098476607.1836138</v>
      </c>
      <c r="K55" s="470">
        <f t="shared" si="70"/>
        <v>1088821424.8719471</v>
      </c>
      <c r="L55" s="470">
        <f t="shared" si="70"/>
        <v>1118569232.6411138</v>
      </c>
      <c r="M55" s="470">
        <f t="shared" si="70"/>
        <v>1103356272.7752805</v>
      </c>
      <c r="N55" s="470">
        <f t="shared" si="70"/>
        <v>1091492386.3462365</v>
      </c>
      <c r="O55" s="470">
        <f t="shared" si="70"/>
        <v>1069093215.0061139</v>
      </c>
      <c r="P55" s="470">
        <f t="shared" si="70"/>
        <v>1054906034.0985699</v>
      </c>
      <c r="Q55" s="470">
        <f t="shared" si="70"/>
        <v>1047701595.1641922</v>
      </c>
      <c r="R55" s="470">
        <f t="shared" si="70"/>
        <v>1009425958.9661483</v>
      </c>
      <c r="S55" s="470">
        <f t="shared" si="70"/>
        <v>1029374093.4974375</v>
      </c>
      <c r="T55" s="470">
        <f t="shared" si="70"/>
        <v>1038301604.7784806</v>
      </c>
      <c r="U55" s="470">
        <f t="shared" si="70"/>
        <v>900266027.23290527</v>
      </c>
      <c r="V55" s="470">
        <f t="shared" si="70"/>
        <v>983994329.42377973</v>
      </c>
      <c r="W55" s="470">
        <f t="shared" si="70"/>
        <v>797764777.01147103</v>
      </c>
      <c r="X55" s="470">
        <f t="shared" si="70"/>
        <v>868152254.42152882</v>
      </c>
      <c r="Y55" s="470">
        <f t="shared" si="70"/>
        <v>879802070.43026996</v>
      </c>
      <c r="Z55" s="470">
        <f t="shared" si="70"/>
        <v>939641039.57481122</v>
      </c>
      <c r="AA55" s="470">
        <f t="shared" si="70"/>
        <v>908796419.3551023</v>
      </c>
      <c r="AB55" s="470">
        <f t="shared" si="70"/>
        <v>981080613.26694345</v>
      </c>
      <c r="AC55" s="470">
        <f t="shared" si="70"/>
        <v>844136225.83721805</v>
      </c>
      <c r="AD55" s="470">
        <f t="shared" si="70"/>
        <v>861529890.7099092</v>
      </c>
      <c r="AE55" s="470">
        <f t="shared" si="70"/>
        <v>754408345.00343382</v>
      </c>
      <c r="AF55" s="470">
        <f t="shared" si="70"/>
        <v>905818017.737975</v>
      </c>
      <c r="AG55" s="470">
        <f t="shared" si="70"/>
        <v>943174727.95623279</v>
      </c>
      <c r="AH55" s="470">
        <f t="shared" si="70"/>
        <v>1163417767.5787072</v>
      </c>
      <c r="AI55" s="470">
        <f t="shared" si="70"/>
        <v>1174696588.3272986</v>
      </c>
      <c r="AJ55" s="470">
        <f t="shared" si="70"/>
        <v>1155984438.6386898</v>
      </c>
      <c r="AK55" s="470">
        <f t="shared" si="70"/>
        <v>1191790606.9534976</v>
      </c>
      <c r="AL55" s="470">
        <f t="shared" si="70"/>
        <v>1059358684.6945387</v>
      </c>
      <c r="AM55" s="470">
        <f t="shared" si="70"/>
        <v>996637694.54191315</v>
      </c>
      <c r="AN55" s="470">
        <f t="shared" si="70"/>
        <v>1000676953.6300712</v>
      </c>
      <c r="AO55" s="470">
        <f t="shared" si="70"/>
        <v>997246471.8047123</v>
      </c>
      <c r="AP55" s="470">
        <f t="shared" si="70"/>
        <v>900444961.46098685</v>
      </c>
      <c r="AQ55" s="470">
        <f t="shared" si="70"/>
        <v>1325680958.9926944</v>
      </c>
      <c r="AR55" s="470">
        <f t="shared" si="70"/>
        <v>1258560712.4616525</v>
      </c>
      <c r="AS55" s="470">
        <f t="shared" si="70"/>
        <v>1227402479.1497605</v>
      </c>
      <c r="AT55" s="470">
        <f t="shared" si="70"/>
        <v>1270174253.3082118</v>
      </c>
      <c r="AU55" s="387">
        <f t="shared" si="70"/>
        <v>1179331872.732537</v>
      </c>
      <c r="AV55" s="387">
        <f t="shared" si="70"/>
        <v>1215442497.0638278</v>
      </c>
      <c r="AW55" s="387">
        <f t="shared" si="70"/>
        <v>1247904824.0948479</v>
      </c>
      <c r="AX55" s="387">
        <f t="shared" si="70"/>
        <v>1362400658.5016427</v>
      </c>
      <c r="AY55" s="387">
        <f t="shared" si="70"/>
        <v>1409730047.8170195</v>
      </c>
      <c r="AZ55" s="387">
        <f t="shared" si="70"/>
        <v>1468542391.70313</v>
      </c>
      <c r="BA55" s="387">
        <f t="shared" si="70"/>
        <v>1519879540.267096</v>
      </c>
      <c r="BB55" s="387">
        <f t="shared" si="70"/>
        <v>1619892729.9370911</v>
      </c>
      <c r="BC55" s="387">
        <f t="shared" si="70"/>
        <v>1642987130.0736058</v>
      </c>
      <c r="BD55" s="387">
        <f t="shared" si="70"/>
        <v>1248811889.1951709</v>
      </c>
      <c r="BE55" s="387">
        <f t="shared" si="70"/>
        <v>1059462481.6131712</v>
      </c>
      <c r="BF55" s="387">
        <f t="shared" si="70"/>
        <v>1069461412.8180193</v>
      </c>
      <c r="BG55" s="387">
        <f t="shared" si="70"/>
        <v>1166860343.0641849</v>
      </c>
      <c r="BH55" s="387">
        <f t="shared" si="70"/>
        <v>1229359109.7016068</v>
      </c>
      <c r="BI55" s="387">
        <f t="shared" si="70"/>
        <v>1317856667.2926054</v>
      </c>
      <c r="BJ55" s="387">
        <f t="shared" si="70"/>
        <v>1311997741.7115719</v>
      </c>
      <c r="BK55" s="387">
        <f t="shared" si="70"/>
        <v>1087260145.2986062</v>
      </c>
      <c r="BL55" s="387">
        <f t="shared" si="70"/>
        <v>1097344075.0492992</v>
      </c>
      <c r="BM55" s="387">
        <f t="shared" si="70"/>
        <v>1055357853.4747455</v>
      </c>
      <c r="BN55" s="387">
        <f t="shared" si="70"/>
        <v>1073229993.3593813</v>
      </c>
      <c r="BO55" s="387">
        <f t="shared" si="70"/>
        <v>1165242430.230248</v>
      </c>
      <c r="BP55" s="387">
        <f t="shared" si="70"/>
        <v>1175242027.5747244</v>
      </c>
      <c r="BQ55" s="387">
        <f t="shared" si="70"/>
        <v>1249006419.7105546</v>
      </c>
      <c r="BR55" s="387">
        <f t="shared" si="70"/>
        <v>1309040100.2281337</v>
      </c>
      <c r="BS55" s="387">
        <f t="shared" ref="BS55:CL55" si="71">BS23*BS2+BS3*BS24+BS25*BS4+BS5*BS26+BS27*FB41</f>
        <v>1182671206.1544635</v>
      </c>
      <c r="BT55" s="387">
        <f t="shared" si="71"/>
        <v>871485648.66263103</v>
      </c>
      <c r="BU55" s="387">
        <f t="shared" si="71"/>
        <v>1167976526.3079908</v>
      </c>
      <c r="BV55" s="387">
        <f t="shared" si="71"/>
        <v>1120824445.4400904</v>
      </c>
      <c r="BW55" s="387">
        <f t="shared" si="71"/>
        <v>1211586436.287324</v>
      </c>
      <c r="BX55" s="387">
        <f t="shared" si="71"/>
        <v>960598852.18116474</v>
      </c>
      <c r="BY55" s="387">
        <f t="shared" si="71"/>
        <v>971303503.5916872</v>
      </c>
      <c r="BZ55" s="387">
        <f t="shared" si="71"/>
        <v>944709858.30263817</v>
      </c>
      <c r="CA55" s="387">
        <f t="shared" si="71"/>
        <v>840238916.73769474</v>
      </c>
      <c r="CB55" s="387">
        <f t="shared" si="71"/>
        <v>982127256.39941871</v>
      </c>
      <c r="CC55" s="387">
        <f t="shared" si="71"/>
        <v>1090226219.5942354</v>
      </c>
      <c r="CD55" s="387">
        <f t="shared" si="71"/>
        <v>1247529578.0785472</v>
      </c>
      <c r="CE55" s="387">
        <f t="shared" si="71"/>
        <v>1371451594.8523433</v>
      </c>
      <c r="CF55" s="387">
        <f t="shared" si="71"/>
        <v>1446064729.550642</v>
      </c>
      <c r="CG55" s="387">
        <f t="shared" si="71"/>
        <v>1366839522.7320721</v>
      </c>
      <c r="CH55" s="387">
        <f t="shared" si="71"/>
        <v>1367601179.9376314</v>
      </c>
      <c r="CI55" s="387">
        <f t="shared" si="71"/>
        <v>1476791321.951494</v>
      </c>
      <c r="CJ55" s="387">
        <f t="shared" si="71"/>
        <v>1614869457.0669553</v>
      </c>
      <c r="CK55" s="387">
        <f t="shared" si="71"/>
        <v>1595122200.5578258</v>
      </c>
      <c r="CL55" s="389">
        <f t="shared" si="71"/>
        <v>1624116230.3794193</v>
      </c>
      <c r="CM55" s="75">
        <f t="shared" si="15"/>
        <v>1147275520.4347627</v>
      </c>
      <c r="CN55" s="58"/>
      <c r="CO55" s="58"/>
      <c r="CP55" s="58"/>
      <c r="CQ55" s="58"/>
      <c r="CR55" s="58"/>
      <c r="CS55" s="58"/>
      <c r="CT55" s="58"/>
      <c r="CU55" s="58"/>
      <c r="CV55" s="58"/>
      <c r="CW55" s="58"/>
      <c r="CX55" s="58"/>
      <c r="CY55" s="58"/>
      <c r="CZ55" s="58"/>
      <c r="DA55" s="58"/>
      <c r="DB55" s="58"/>
      <c r="DC55" s="58"/>
      <c r="DD55" s="58"/>
      <c r="DE55" s="58"/>
      <c r="DF55" s="58"/>
      <c r="DG55" s="58"/>
      <c r="DH55" s="58"/>
      <c r="DI55" s="58"/>
      <c r="DJ55" s="58"/>
      <c r="DK55" s="58"/>
      <c r="DL55" s="58"/>
      <c r="DM55" s="58"/>
      <c r="DN55" s="58"/>
      <c r="DO55" s="58"/>
      <c r="DP55" s="58"/>
      <c r="DQ55" s="58"/>
      <c r="DR55" s="58"/>
      <c r="DS55" s="58"/>
      <c r="DT55" s="58"/>
      <c r="DU55" s="58"/>
      <c r="DV55" s="58"/>
      <c r="DW55" s="58"/>
      <c r="DX55" s="58"/>
      <c r="DY55" s="58"/>
      <c r="DZ55" s="58"/>
      <c r="EA55" s="58"/>
      <c r="EB55" s="58"/>
      <c r="EC55" s="58"/>
      <c r="ED55" s="58"/>
      <c r="EE55" s="58"/>
      <c r="EF55" s="58"/>
      <c r="EG55" s="58"/>
      <c r="EH55" s="58"/>
      <c r="EI55" s="58"/>
      <c r="EJ55" s="58"/>
      <c r="EK55" s="58"/>
      <c r="EL55" s="58"/>
      <c r="EM55" s="58"/>
      <c r="EN55" s="58"/>
      <c r="EO55" s="58"/>
      <c r="EP55" s="58"/>
      <c r="EQ55" s="58"/>
      <c r="ER55" s="58"/>
      <c r="ES55" s="58"/>
      <c r="ET55" s="58"/>
      <c r="EU55" s="58"/>
      <c r="EV55" s="58"/>
      <c r="EW55" s="58"/>
      <c r="EX55" s="58"/>
      <c r="EY55" s="58"/>
      <c r="EZ55" s="58"/>
      <c r="FA55" s="58"/>
      <c r="FB55" s="58"/>
      <c r="FC55" s="58"/>
      <c r="FD55" s="58"/>
      <c r="FE55" s="58"/>
      <c r="FF55" s="58"/>
      <c r="FG55" s="58"/>
      <c r="FH55" s="58"/>
      <c r="FI55" s="58"/>
      <c r="FJ55" s="58"/>
      <c r="FK55" s="58"/>
      <c r="FL55" s="58"/>
      <c r="FM55" s="58"/>
      <c r="FN55" s="58"/>
      <c r="FO55" s="58"/>
      <c r="FP55" s="58"/>
      <c r="FQ55" s="58"/>
      <c r="FR55" s="58"/>
      <c r="FS55" s="58"/>
      <c r="FT55" s="58"/>
      <c r="FU55" s="58"/>
      <c r="FV55" s="58"/>
    </row>
    <row r="56" spans="1:178">
      <c r="A56" s="58"/>
      <c r="B56" s="58"/>
      <c r="C56" s="58"/>
      <c r="D56" s="58"/>
      <c r="E56" s="58"/>
      <c r="F56" s="480"/>
      <c r="G56" s="480"/>
      <c r="H56" s="480"/>
      <c r="I56" s="480"/>
      <c r="J56" s="480"/>
      <c r="K56" s="480"/>
      <c r="L56" s="480"/>
      <c r="M56" s="480"/>
      <c r="N56" s="480"/>
      <c r="O56" s="480"/>
      <c r="P56" s="480"/>
      <c r="Q56" s="480"/>
      <c r="R56" s="480"/>
      <c r="S56" s="481"/>
      <c r="T56" s="481"/>
      <c r="U56" s="481"/>
      <c r="V56" s="481"/>
      <c r="W56" s="481"/>
      <c r="X56" s="481"/>
      <c r="Y56" s="481"/>
      <c r="Z56" s="481"/>
      <c r="AA56" s="481"/>
      <c r="AB56" s="481"/>
      <c r="AC56" s="481"/>
      <c r="AD56" s="481"/>
      <c r="AE56" s="481"/>
      <c r="AF56" s="481"/>
      <c r="AG56" s="481"/>
      <c r="AH56" s="481"/>
      <c r="AI56" s="481"/>
      <c r="AJ56" s="481"/>
      <c r="AK56" s="481"/>
      <c r="AL56" s="481"/>
      <c r="AM56" s="481"/>
      <c r="AN56" s="481"/>
      <c r="AO56" s="481"/>
      <c r="AP56" s="481"/>
      <c r="AQ56" s="481"/>
      <c r="AR56" s="481"/>
      <c r="AS56" s="481"/>
      <c r="AT56" s="482">
        <v>8000</v>
      </c>
      <c r="AU56" s="481"/>
      <c r="AV56" s="481"/>
      <c r="AW56" s="481"/>
      <c r="AX56" s="481"/>
      <c r="AY56" s="481"/>
      <c r="AZ56" s="481"/>
      <c r="BA56" s="481"/>
      <c r="BB56" s="481"/>
      <c r="BC56" s="481"/>
      <c r="BD56" s="481"/>
      <c r="BE56" s="481"/>
      <c r="BF56" s="481"/>
      <c r="BG56" s="481"/>
      <c r="BH56" s="481"/>
      <c r="BI56" s="481"/>
      <c r="BJ56" s="481"/>
      <c r="BK56" s="481"/>
      <c r="BL56" s="481"/>
      <c r="BM56" s="481"/>
      <c r="BN56" s="481"/>
      <c r="BO56" s="481"/>
      <c r="BP56" s="481"/>
      <c r="BQ56" s="481"/>
      <c r="BR56" s="481"/>
      <c r="BS56" s="481"/>
      <c r="BT56" s="481"/>
      <c r="BU56" s="481"/>
      <c r="BV56" s="481"/>
      <c r="BW56" s="481"/>
      <c r="BX56" s="481"/>
      <c r="BY56" s="481"/>
      <c r="BZ56" s="481"/>
      <c r="CA56" s="481"/>
      <c r="CB56" s="481"/>
      <c r="CC56" s="481"/>
      <c r="CD56" s="481"/>
      <c r="CE56" s="481"/>
      <c r="CF56" s="481"/>
      <c r="CG56" s="481"/>
      <c r="CH56" s="481"/>
      <c r="CI56" s="481"/>
      <c r="CJ56" s="481"/>
      <c r="CK56" s="481"/>
      <c r="CL56" s="481"/>
      <c r="CM56" s="415"/>
      <c r="CN56" s="58"/>
      <c r="CO56" s="58"/>
      <c r="CP56" s="58"/>
      <c r="CQ56" s="58"/>
      <c r="CR56" s="58"/>
      <c r="CS56" s="58"/>
      <c r="CT56" s="58"/>
      <c r="CU56" s="58"/>
      <c r="CV56" s="58"/>
      <c r="CW56" s="58"/>
      <c r="CX56" s="58"/>
      <c r="CY56" s="58"/>
      <c r="CZ56" s="58"/>
      <c r="DA56" s="58"/>
      <c r="DB56" s="58"/>
      <c r="DC56" s="58"/>
      <c r="DD56" s="58"/>
      <c r="DE56" s="58"/>
      <c r="DF56" s="58"/>
      <c r="DG56" s="58"/>
      <c r="DH56" s="58"/>
      <c r="DI56" s="58"/>
      <c r="DJ56" s="58"/>
      <c r="DK56" s="58"/>
      <c r="DL56" s="58"/>
      <c r="DM56" s="58"/>
      <c r="DN56" s="58"/>
      <c r="DO56" s="58"/>
      <c r="DP56" s="58"/>
      <c r="DQ56" s="58"/>
      <c r="DR56" s="58"/>
      <c r="DS56" s="58"/>
      <c r="DT56" s="58"/>
      <c r="DU56" s="58"/>
      <c r="DV56" s="58"/>
      <c r="DW56" s="58"/>
      <c r="DX56" s="58"/>
      <c r="DY56" s="58"/>
      <c r="DZ56" s="58"/>
      <c r="EA56" s="58"/>
      <c r="EB56" s="58"/>
      <c r="EC56" s="58"/>
      <c r="ED56" s="58"/>
      <c r="EE56" s="58"/>
      <c r="EF56" s="58"/>
      <c r="EG56" s="58"/>
      <c r="EH56" s="58"/>
      <c r="EI56" s="58"/>
      <c r="EJ56" s="58"/>
      <c r="EK56" s="58"/>
      <c r="EL56" s="58"/>
      <c r="EM56" s="58"/>
      <c r="EN56" s="58"/>
      <c r="EO56" s="58"/>
      <c r="EP56" s="58"/>
      <c r="EQ56" s="58"/>
      <c r="ER56" s="58"/>
      <c r="ES56" s="58"/>
      <c r="ET56" s="58"/>
      <c r="EU56" s="58"/>
      <c r="EV56" s="58"/>
      <c r="EW56" s="58"/>
      <c r="EX56" s="58"/>
      <c r="EY56" s="58"/>
      <c r="EZ56" s="58"/>
      <c r="FA56" s="58"/>
      <c r="FB56" s="58"/>
      <c r="FC56" s="58"/>
      <c r="FD56" s="58"/>
      <c r="FE56" s="58"/>
      <c r="FF56" s="58"/>
      <c r="FG56" s="58"/>
      <c r="FH56" s="58"/>
      <c r="FI56" s="58"/>
      <c r="FJ56" s="58"/>
      <c r="FK56" s="58"/>
      <c r="FL56" s="58"/>
      <c r="FM56" s="58"/>
      <c r="FN56" s="58"/>
      <c r="FO56" s="58"/>
      <c r="FP56" s="58"/>
      <c r="FQ56" s="58"/>
      <c r="FR56" s="58"/>
      <c r="FS56" s="58"/>
      <c r="FT56" s="58"/>
      <c r="FU56" s="58"/>
      <c r="FV56" s="58"/>
    </row>
    <row r="57" spans="1:178" ht="12.75" customHeight="1">
      <c r="A57" s="1055" t="s">
        <v>420</v>
      </c>
      <c r="B57" s="1055"/>
      <c r="C57" s="1055"/>
      <c r="D57" s="1055"/>
      <c r="E57" s="1056"/>
      <c r="F57" s="483" t="s">
        <v>184</v>
      </c>
      <c r="G57" s="483"/>
      <c r="H57" s="483"/>
      <c r="I57" s="483"/>
      <c r="J57" s="483"/>
      <c r="K57" s="483"/>
      <c r="L57" s="483"/>
      <c r="M57" s="483"/>
      <c r="N57" s="483"/>
      <c r="O57" s="483"/>
      <c r="P57" s="483"/>
      <c r="Q57" s="483"/>
      <c r="R57" s="483"/>
      <c r="S57" s="484"/>
      <c r="T57" s="484"/>
      <c r="U57" s="484"/>
      <c r="V57" s="484"/>
      <c r="W57" s="484"/>
      <c r="X57" s="484"/>
      <c r="Y57" s="484"/>
      <c r="Z57" s="484"/>
      <c r="AA57" s="484"/>
      <c r="AB57" s="484"/>
      <c r="AC57" s="484"/>
      <c r="AD57" s="484"/>
      <c r="AE57" s="484"/>
      <c r="AF57" s="484"/>
      <c r="AG57" s="484"/>
      <c r="AH57" s="484"/>
      <c r="AI57" s="484"/>
      <c r="AJ57" s="484"/>
      <c r="AK57" s="484"/>
      <c r="AL57" s="484"/>
      <c r="AM57" s="484"/>
      <c r="AN57" s="484"/>
      <c r="AO57" s="484"/>
      <c r="AP57" s="484"/>
      <c r="AQ57" s="484"/>
      <c r="AR57" s="484"/>
      <c r="AS57" s="484"/>
      <c r="AT57" s="485"/>
      <c r="AU57" s="359"/>
      <c r="AV57" s="359"/>
      <c r="AW57" s="359"/>
      <c r="AX57" s="359"/>
      <c r="AY57" s="359"/>
      <c r="AZ57" s="359"/>
      <c r="BA57" s="359"/>
      <c r="BB57" s="359"/>
      <c r="BC57" s="359"/>
      <c r="BD57" s="359"/>
      <c r="BE57" s="359"/>
      <c r="BF57" s="359"/>
      <c r="BG57" s="359"/>
      <c r="BH57" s="359"/>
      <c r="BI57" s="359"/>
      <c r="BJ57" s="359"/>
      <c r="BK57" s="359"/>
      <c r="BL57" s="359"/>
      <c r="BM57" s="359"/>
      <c r="BN57" s="359"/>
      <c r="BO57" s="359"/>
      <c r="BP57" s="359"/>
      <c r="BQ57" s="359"/>
      <c r="BR57" s="359"/>
      <c r="BS57" s="359"/>
      <c r="BT57" s="359"/>
      <c r="BU57" s="359"/>
      <c r="BV57" s="359"/>
      <c r="BW57" s="359"/>
      <c r="BX57" s="359"/>
      <c r="BY57" s="359"/>
      <c r="BZ57" s="359"/>
      <c r="CA57" s="359"/>
      <c r="CB57" s="359"/>
      <c r="CC57" s="359"/>
      <c r="CD57" s="359"/>
      <c r="CE57" s="359"/>
      <c r="CF57" s="359"/>
      <c r="CG57" s="359"/>
      <c r="CH57" s="359"/>
      <c r="CI57" s="359"/>
      <c r="CJ57" s="359"/>
      <c r="CK57" s="359"/>
      <c r="CL57" s="359"/>
      <c r="CM57" s="484"/>
      <c r="CN57" s="58"/>
      <c r="CO57" s="58"/>
      <c r="CP57" s="58"/>
      <c r="CQ57" s="58"/>
      <c r="CR57" s="58"/>
      <c r="CS57" s="58"/>
      <c r="CT57" s="58"/>
      <c r="CU57" s="58"/>
      <c r="CV57" s="58"/>
      <c r="CW57" s="58"/>
      <c r="CX57" s="58"/>
      <c r="CY57" s="58"/>
      <c r="CZ57" s="58"/>
      <c r="DA57" s="58"/>
      <c r="DB57" s="58"/>
      <c r="DC57" s="58"/>
      <c r="DD57" s="58"/>
      <c r="DE57" s="58"/>
      <c r="DF57" s="58"/>
      <c r="DG57" s="58"/>
      <c r="DH57" s="58"/>
      <c r="DI57" s="58"/>
      <c r="DJ57" s="58"/>
      <c r="DK57" s="58"/>
      <c r="DL57" s="58"/>
      <c r="DM57" s="58"/>
      <c r="DN57" s="58"/>
      <c r="DO57" s="58"/>
      <c r="DP57" s="58"/>
      <c r="DQ57" s="58"/>
      <c r="DR57" s="58"/>
      <c r="DS57" s="58"/>
      <c r="DT57" s="58"/>
      <c r="DU57" s="58"/>
      <c r="DV57" s="58"/>
      <c r="DW57" s="58"/>
      <c r="DX57" s="58"/>
      <c r="DY57" s="58"/>
      <c r="DZ57" s="58"/>
      <c r="EA57" s="58"/>
      <c r="EB57" s="58"/>
      <c r="EC57" s="58"/>
      <c r="ED57" s="58"/>
      <c r="EE57" s="58"/>
      <c r="EF57" s="58"/>
      <c r="EG57" s="58"/>
      <c r="EH57" s="58"/>
      <c r="EI57" s="58"/>
      <c r="EJ57" s="58"/>
      <c r="EK57" s="58"/>
      <c r="EL57" s="58"/>
      <c r="EM57" s="58"/>
      <c r="EN57" s="58"/>
      <c r="EO57" s="58"/>
      <c r="EP57" s="58"/>
      <c r="EQ57" s="58"/>
      <c r="ER57" s="58"/>
      <c r="ES57" s="58"/>
      <c r="ET57" s="58"/>
      <c r="EU57" s="58"/>
      <c r="EV57" s="58"/>
      <c r="EW57" s="58"/>
      <c r="EX57" s="58"/>
      <c r="EY57" s="58"/>
      <c r="EZ57" s="58"/>
      <c r="FA57" s="58"/>
      <c r="FB57" s="58"/>
      <c r="FC57" s="58"/>
      <c r="FD57" s="58"/>
      <c r="FE57" s="58"/>
      <c r="FF57" s="58"/>
      <c r="FG57" s="58"/>
      <c r="FH57" s="58"/>
      <c r="FI57" s="58"/>
      <c r="FJ57" s="58"/>
      <c r="FK57" s="58"/>
      <c r="FL57" s="58"/>
      <c r="FM57" s="58"/>
      <c r="FN57" s="58"/>
      <c r="FO57" s="58"/>
      <c r="FP57" s="58"/>
      <c r="FQ57" s="58"/>
      <c r="FR57" s="58"/>
      <c r="FS57" s="58"/>
      <c r="FT57" s="58"/>
      <c r="FU57" s="58"/>
      <c r="FV57" s="58"/>
    </row>
    <row r="58" spans="1:178">
      <c r="A58" s="1055"/>
      <c r="B58" s="1055"/>
      <c r="C58" s="1055"/>
      <c r="D58" s="1055"/>
      <c r="E58" s="1056"/>
      <c r="F58" s="363" t="s">
        <v>185</v>
      </c>
      <c r="G58" s="482">
        <f t="shared" ref="G58:AL58" si="72">G42</f>
        <v>5310784.7387895873</v>
      </c>
      <c r="H58" s="482">
        <f t="shared" si="72"/>
        <v>5310784.7387895873</v>
      </c>
      <c r="I58" s="482">
        <f t="shared" si="72"/>
        <v>5310784.7387895873</v>
      </c>
      <c r="J58" s="482">
        <f t="shared" si="72"/>
        <v>5310784.7387895873</v>
      </c>
      <c r="K58" s="482">
        <f t="shared" si="72"/>
        <v>5310784.7387895873</v>
      </c>
      <c r="L58" s="482">
        <f t="shared" si="72"/>
        <v>5310784.7387895873</v>
      </c>
      <c r="M58" s="482">
        <f t="shared" si="72"/>
        <v>5310784.7387895873</v>
      </c>
      <c r="N58" s="482">
        <f t="shared" si="72"/>
        <v>5310784.7387895873</v>
      </c>
      <c r="O58" s="482">
        <f t="shared" si="72"/>
        <v>5310784.7387895873</v>
      </c>
      <c r="P58" s="482">
        <f t="shared" si="72"/>
        <v>5310784.7387895873</v>
      </c>
      <c r="Q58" s="482">
        <f t="shared" si="72"/>
        <v>5310784.7387895873</v>
      </c>
      <c r="R58" s="482">
        <f t="shared" si="72"/>
        <v>5310784.7387895873</v>
      </c>
      <c r="S58" s="482">
        <f t="shared" si="72"/>
        <v>5310784.7387895873</v>
      </c>
      <c r="T58" s="482">
        <f t="shared" si="72"/>
        <v>5310784.7387895873</v>
      </c>
      <c r="U58" s="482">
        <f t="shared" si="72"/>
        <v>5310784.7387895873</v>
      </c>
      <c r="V58" s="482">
        <f t="shared" si="72"/>
        <v>5310784.7387895873</v>
      </c>
      <c r="W58" s="482">
        <f t="shared" si="72"/>
        <v>5310784.7387895873</v>
      </c>
      <c r="X58" s="482">
        <f t="shared" si="72"/>
        <v>5310784.7387895873</v>
      </c>
      <c r="Y58" s="482">
        <f t="shared" si="72"/>
        <v>5310784.7387895873</v>
      </c>
      <c r="Z58" s="482">
        <f t="shared" si="72"/>
        <v>5310784.7387895873</v>
      </c>
      <c r="AA58" s="482">
        <f t="shared" si="72"/>
        <v>5310784.7387895873</v>
      </c>
      <c r="AB58" s="482">
        <f t="shared" si="72"/>
        <v>5310784.7387895873</v>
      </c>
      <c r="AC58" s="482">
        <f t="shared" si="72"/>
        <v>5310784.7387895873</v>
      </c>
      <c r="AD58" s="482">
        <f t="shared" si="72"/>
        <v>5310784.7387895873</v>
      </c>
      <c r="AE58" s="482">
        <f t="shared" si="72"/>
        <v>5310784.7387895873</v>
      </c>
      <c r="AF58" s="482">
        <f t="shared" si="72"/>
        <v>5310784.7387895873</v>
      </c>
      <c r="AG58" s="482">
        <f t="shared" si="72"/>
        <v>5310784.7387895873</v>
      </c>
      <c r="AH58" s="482">
        <f t="shared" si="72"/>
        <v>5310784.7387895873</v>
      </c>
      <c r="AI58" s="482">
        <f t="shared" si="72"/>
        <v>5310784.7387895873</v>
      </c>
      <c r="AJ58" s="482">
        <f t="shared" si="72"/>
        <v>5310784.7387895873</v>
      </c>
      <c r="AK58" s="482">
        <f t="shared" si="72"/>
        <v>5310784.7387895873</v>
      </c>
      <c r="AL58" s="482">
        <f t="shared" si="72"/>
        <v>5310784.7387895873</v>
      </c>
      <c r="AM58" s="482">
        <f t="shared" ref="AM58:BR58" si="73">AM42</f>
        <v>5310784.7387895873</v>
      </c>
      <c r="AN58" s="482">
        <f t="shared" si="73"/>
        <v>5310784.7387895873</v>
      </c>
      <c r="AO58" s="482">
        <f t="shared" si="73"/>
        <v>5310784.7387895873</v>
      </c>
      <c r="AP58" s="482">
        <f t="shared" si="73"/>
        <v>5310784.7387895873</v>
      </c>
      <c r="AQ58" s="482">
        <f t="shared" si="73"/>
        <v>5310784.7387895873</v>
      </c>
      <c r="AR58" s="482">
        <f t="shared" si="73"/>
        <v>5310784.7387895873</v>
      </c>
      <c r="AS58" s="482">
        <f t="shared" si="73"/>
        <v>5310784.7387895873</v>
      </c>
      <c r="AT58" s="482">
        <f t="shared" si="73"/>
        <v>5310784.7387895873</v>
      </c>
      <c r="AU58" s="319">
        <f t="shared" si="73"/>
        <v>5310784.7387895873</v>
      </c>
      <c r="AV58" s="319">
        <f t="shared" si="73"/>
        <v>5310784.7387895873</v>
      </c>
      <c r="AW58" s="319">
        <f t="shared" si="73"/>
        <v>5310784.7387895873</v>
      </c>
      <c r="AX58" s="319">
        <f t="shared" si="73"/>
        <v>5310784.7387895873</v>
      </c>
      <c r="AY58" s="319">
        <f t="shared" si="73"/>
        <v>5310784.7387895873</v>
      </c>
      <c r="AZ58" s="319">
        <f t="shared" si="73"/>
        <v>5310784.7387895873</v>
      </c>
      <c r="BA58" s="319">
        <f t="shared" si="73"/>
        <v>5310784.7387895873</v>
      </c>
      <c r="BB58" s="319">
        <f t="shared" si="73"/>
        <v>5310784.7387895873</v>
      </c>
      <c r="BC58" s="319">
        <f t="shared" si="73"/>
        <v>5310784.7387895873</v>
      </c>
      <c r="BD58" s="319">
        <f t="shared" si="73"/>
        <v>5310784.7387895873</v>
      </c>
      <c r="BE58" s="319">
        <f t="shared" si="73"/>
        <v>5310784.7387895873</v>
      </c>
      <c r="BF58" s="319">
        <f t="shared" si="73"/>
        <v>5310784.7387895873</v>
      </c>
      <c r="BG58" s="319">
        <f t="shared" si="73"/>
        <v>5310784.7387895873</v>
      </c>
      <c r="BH58" s="319">
        <f t="shared" si="73"/>
        <v>5310784.7387895873</v>
      </c>
      <c r="BI58" s="319">
        <f t="shared" si="73"/>
        <v>5310784.7387895873</v>
      </c>
      <c r="BJ58" s="319">
        <f t="shared" si="73"/>
        <v>5310784.7387895873</v>
      </c>
      <c r="BK58" s="319">
        <f t="shared" si="73"/>
        <v>5310784.7387895873</v>
      </c>
      <c r="BL58" s="319">
        <f t="shared" si="73"/>
        <v>5310784.7387895873</v>
      </c>
      <c r="BM58" s="319">
        <f t="shared" si="73"/>
        <v>5310784.7387895873</v>
      </c>
      <c r="BN58" s="319">
        <f t="shared" si="73"/>
        <v>5310784.7387895873</v>
      </c>
      <c r="BO58" s="319">
        <f t="shared" si="73"/>
        <v>5310784.7387895873</v>
      </c>
      <c r="BP58" s="319">
        <f t="shared" si="73"/>
        <v>5310784.7387895873</v>
      </c>
      <c r="BQ58" s="319">
        <f t="shared" si="73"/>
        <v>5310784.7387895873</v>
      </c>
      <c r="BR58" s="319">
        <f t="shared" si="73"/>
        <v>5310784.7387895873</v>
      </c>
      <c r="BS58" s="319">
        <f t="shared" ref="BS58:CL58" si="74">BS42</f>
        <v>5310784.7387895873</v>
      </c>
      <c r="BT58" s="319">
        <f t="shared" si="74"/>
        <v>5310784.7387895873</v>
      </c>
      <c r="BU58" s="319">
        <f t="shared" si="74"/>
        <v>5310784.7387895873</v>
      </c>
      <c r="BV58" s="319">
        <f t="shared" si="74"/>
        <v>5310784.7387895873</v>
      </c>
      <c r="BW58" s="319">
        <f t="shared" si="74"/>
        <v>5310784.7387895873</v>
      </c>
      <c r="BX58" s="319">
        <f t="shared" si="74"/>
        <v>5310784.7387895873</v>
      </c>
      <c r="BY58" s="319">
        <f t="shared" si="74"/>
        <v>5310784.7387895873</v>
      </c>
      <c r="BZ58" s="319">
        <f t="shared" si="74"/>
        <v>5310784.7387895873</v>
      </c>
      <c r="CA58" s="319">
        <f t="shared" si="74"/>
        <v>5310784.7387895873</v>
      </c>
      <c r="CB58" s="319">
        <f t="shared" si="74"/>
        <v>5310784.7387895873</v>
      </c>
      <c r="CC58" s="319">
        <f t="shared" si="74"/>
        <v>5310784.7387895873</v>
      </c>
      <c r="CD58" s="319">
        <f t="shared" si="74"/>
        <v>5310784.7387895873</v>
      </c>
      <c r="CE58" s="319">
        <f t="shared" si="74"/>
        <v>5310784.7387895873</v>
      </c>
      <c r="CF58" s="319">
        <f t="shared" si="74"/>
        <v>5310784.7387895873</v>
      </c>
      <c r="CG58" s="319">
        <f t="shared" si="74"/>
        <v>5310784.7387895873</v>
      </c>
      <c r="CH58" s="319">
        <f t="shared" si="74"/>
        <v>5310784.7387895873</v>
      </c>
      <c r="CI58" s="319">
        <f t="shared" si="74"/>
        <v>5310784.7387895873</v>
      </c>
      <c r="CJ58" s="319">
        <f t="shared" si="74"/>
        <v>5310784.7387895873</v>
      </c>
      <c r="CK58" s="319">
        <f t="shared" si="74"/>
        <v>5310784.7387895873</v>
      </c>
      <c r="CL58" s="319">
        <f t="shared" si="74"/>
        <v>5310784.7387895873</v>
      </c>
      <c r="CM58" s="359">
        <f t="shared" ref="CM58:CM64" si="75">AVERAGE(G58:CL58)</f>
        <v>5310784.7387895761</v>
      </c>
      <c r="CN58" s="58"/>
      <c r="CO58" s="58"/>
      <c r="CP58" s="58"/>
      <c r="CQ58" s="58"/>
      <c r="CR58" s="58"/>
      <c r="CS58" s="58"/>
      <c r="CT58" s="58"/>
      <c r="CU58" s="58"/>
      <c r="CV58" s="58"/>
      <c r="CW58" s="58"/>
      <c r="CX58" s="58"/>
      <c r="CY58" s="58"/>
      <c r="CZ58" s="58"/>
      <c r="DA58" s="58"/>
      <c r="DB58" s="58"/>
      <c r="DC58" s="58"/>
      <c r="DD58" s="58"/>
      <c r="DE58" s="58"/>
      <c r="DF58" s="58"/>
      <c r="DG58" s="58"/>
      <c r="DH58" s="58"/>
      <c r="DI58" s="58"/>
      <c r="DJ58" s="58"/>
      <c r="DK58" s="58"/>
      <c r="DL58" s="58"/>
      <c r="DM58" s="58"/>
      <c r="DN58" s="58"/>
      <c r="DO58" s="58"/>
      <c r="DP58" s="58"/>
      <c r="DQ58" s="58"/>
      <c r="DR58" s="58"/>
      <c r="DS58" s="58"/>
      <c r="DT58" s="58"/>
      <c r="DU58" s="58"/>
      <c r="DV58" s="58"/>
      <c r="DW58" s="58"/>
      <c r="DX58" s="58"/>
      <c r="DY58" s="58"/>
      <c r="DZ58" s="58"/>
      <c r="EA58" s="58"/>
      <c r="EB58" s="58"/>
      <c r="EC58" s="58"/>
      <c r="ED58" s="58"/>
      <c r="EE58" s="58"/>
      <c r="EF58" s="58"/>
      <c r="EG58" s="58"/>
      <c r="EH58" s="58"/>
      <c r="EI58" s="58"/>
      <c r="EJ58" s="58"/>
      <c r="EK58" s="58"/>
      <c r="EL58" s="58"/>
      <c r="EM58" s="58"/>
      <c r="EN58" s="58"/>
      <c r="EO58" s="58"/>
      <c r="EP58" s="58"/>
      <c r="EQ58" s="58"/>
      <c r="ER58" s="58"/>
      <c r="ES58" s="58"/>
      <c r="ET58" s="58"/>
      <c r="EU58" s="58"/>
      <c r="EV58" s="58"/>
      <c r="EW58" s="58"/>
      <c r="EX58" s="58"/>
      <c r="EY58" s="58"/>
      <c r="EZ58" s="58"/>
      <c r="FA58" s="58"/>
      <c r="FB58" s="58"/>
      <c r="FC58" s="58"/>
      <c r="FD58" s="58"/>
      <c r="FE58" s="58"/>
      <c r="FF58" s="58"/>
      <c r="FG58" s="58"/>
      <c r="FH58" s="58"/>
      <c r="FI58" s="58"/>
      <c r="FJ58" s="58"/>
      <c r="FK58" s="58"/>
      <c r="FL58" s="58"/>
      <c r="FM58" s="58"/>
      <c r="FN58" s="58"/>
      <c r="FO58" s="58"/>
      <c r="FP58" s="58"/>
      <c r="FQ58" s="58"/>
      <c r="FR58" s="58"/>
      <c r="FS58" s="58"/>
      <c r="FT58" s="58"/>
      <c r="FU58" s="58"/>
      <c r="FV58" s="58"/>
    </row>
    <row r="59" spans="1:178">
      <c r="A59" s="1055"/>
      <c r="B59" s="1055"/>
      <c r="C59" s="1055"/>
      <c r="D59" s="1055"/>
      <c r="E59" s="1056"/>
      <c r="F59" s="363" t="s">
        <v>186</v>
      </c>
      <c r="G59" s="482">
        <f t="shared" ref="G59:AL59" si="76">G43</f>
        <v>10430888.041666668</v>
      </c>
      <c r="H59" s="482">
        <f t="shared" si="76"/>
        <v>10430888.041666668</v>
      </c>
      <c r="I59" s="482">
        <f t="shared" si="76"/>
        <v>10430888.041666668</v>
      </c>
      <c r="J59" s="482">
        <f t="shared" si="76"/>
        <v>10430888.041666668</v>
      </c>
      <c r="K59" s="482">
        <f t="shared" si="76"/>
        <v>10430888.041666668</v>
      </c>
      <c r="L59" s="482">
        <f t="shared" si="76"/>
        <v>10430888.041666668</v>
      </c>
      <c r="M59" s="482">
        <f t="shared" si="76"/>
        <v>10430888.041666668</v>
      </c>
      <c r="N59" s="482">
        <f t="shared" si="76"/>
        <v>10430888.041666668</v>
      </c>
      <c r="O59" s="482">
        <f t="shared" si="76"/>
        <v>10430888.041666668</v>
      </c>
      <c r="P59" s="482">
        <f t="shared" si="76"/>
        <v>10430888.041666668</v>
      </c>
      <c r="Q59" s="482">
        <f t="shared" si="76"/>
        <v>10430888.041666668</v>
      </c>
      <c r="R59" s="482">
        <f t="shared" si="76"/>
        <v>10430888.041666668</v>
      </c>
      <c r="S59" s="482">
        <f t="shared" si="76"/>
        <v>10430888.041666668</v>
      </c>
      <c r="T59" s="482">
        <f t="shared" si="76"/>
        <v>10430888.041666668</v>
      </c>
      <c r="U59" s="482">
        <f t="shared" si="76"/>
        <v>10430888.041666668</v>
      </c>
      <c r="V59" s="482">
        <f t="shared" si="76"/>
        <v>10430888.041666668</v>
      </c>
      <c r="W59" s="482">
        <f t="shared" si="76"/>
        <v>10430888.041666668</v>
      </c>
      <c r="X59" s="482">
        <f t="shared" si="76"/>
        <v>10430888.041666668</v>
      </c>
      <c r="Y59" s="482">
        <f t="shared" si="76"/>
        <v>10430888.041666668</v>
      </c>
      <c r="Z59" s="482">
        <f t="shared" si="76"/>
        <v>10430888.041666668</v>
      </c>
      <c r="AA59" s="482">
        <f t="shared" si="76"/>
        <v>10430888.041666668</v>
      </c>
      <c r="AB59" s="482">
        <f t="shared" si="76"/>
        <v>10430888.041666668</v>
      </c>
      <c r="AC59" s="482">
        <f t="shared" si="76"/>
        <v>10430888.041666668</v>
      </c>
      <c r="AD59" s="482">
        <f t="shared" si="76"/>
        <v>10430888.041666668</v>
      </c>
      <c r="AE59" s="482">
        <f t="shared" si="76"/>
        <v>10430888.041666668</v>
      </c>
      <c r="AF59" s="482">
        <f t="shared" si="76"/>
        <v>10430888.041666668</v>
      </c>
      <c r="AG59" s="482">
        <f t="shared" si="76"/>
        <v>10430888.041666668</v>
      </c>
      <c r="AH59" s="482">
        <f t="shared" si="76"/>
        <v>10430888.041666668</v>
      </c>
      <c r="AI59" s="482">
        <f t="shared" si="76"/>
        <v>10430888.041666668</v>
      </c>
      <c r="AJ59" s="482">
        <f t="shared" si="76"/>
        <v>10430888.041666668</v>
      </c>
      <c r="AK59" s="482">
        <f t="shared" si="76"/>
        <v>10430888.041666668</v>
      </c>
      <c r="AL59" s="482">
        <f t="shared" si="76"/>
        <v>10430888.041666668</v>
      </c>
      <c r="AM59" s="482">
        <f t="shared" ref="AM59:BR59" si="77">AM43</f>
        <v>10430888.041666668</v>
      </c>
      <c r="AN59" s="482">
        <f t="shared" si="77"/>
        <v>10430888.041666668</v>
      </c>
      <c r="AO59" s="482">
        <f t="shared" si="77"/>
        <v>10430888.041666668</v>
      </c>
      <c r="AP59" s="482">
        <f t="shared" si="77"/>
        <v>10430888.041666668</v>
      </c>
      <c r="AQ59" s="482">
        <f t="shared" si="77"/>
        <v>10430888.041666668</v>
      </c>
      <c r="AR59" s="482">
        <f t="shared" si="77"/>
        <v>10430888.041666668</v>
      </c>
      <c r="AS59" s="482">
        <f t="shared" si="77"/>
        <v>10430888.041666668</v>
      </c>
      <c r="AT59" s="482">
        <f t="shared" si="77"/>
        <v>10430888.041666668</v>
      </c>
      <c r="AU59" s="319">
        <f t="shared" si="77"/>
        <v>10430888.041666668</v>
      </c>
      <c r="AV59" s="319">
        <f t="shared" si="77"/>
        <v>10430888.041666668</v>
      </c>
      <c r="AW59" s="319">
        <f t="shared" si="77"/>
        <v>10430888.041666668</v>
      </c>
      <c r="AX59" s="319">
        <f t="shared" si="77"/>
        <v>10430888.041666668</v>
      </c>
      <c r="AY59" s="319">
        <f t="shared" si="77"/>
        <v>10430888.041666668</v>
      </c>
      <c r="AZ59" s="319">
        <f t="shared" si="77"/>
        <v>10430888.041666668</v>
      </c>
      <c r="BA59" s="319">
        <f t="shared" si="77"/>
        <v>10430888.041666668</v>
      </c>
      <c r="BB59" s="319">
        <f t="shared" si="77"/>
        <v>10430888.041666668</v>
      </c>
      <c r="BC59" s="319">
        <f t="shared" si="77"/>
        <v>10430888.041666668</v>
      </c>
      <c r="BD59" s="319">
        <f t="shared" si="77"/>
        <v>10430888.041666668</v>
      </c>
      <c r="BE59" s="319">
        <f t="shared" si="77"/>
        <v>10430888.041666668</v>
      </c>
      <c r="BF59" s="319">
        <f t="shared" si="77"/>
        <v>10430888.041666668</v>
      </c>
      <c r="BG59" s="319">
        <f t="shared" si="77"/>
        <v>10430888.041666668</v>
      </c>
      <c r="BH59" s="319">
        <f t="shared" si="77"/>
        <v>10430888.041666668</v>
      </c>
      <c r="BI59" s="319">
        <f t="shared" si="77"/>
        <v>10430888.041666668</v>
      </c>
      <c r="BJ59" s="319">
        <f t="shared" si="77"/>
        <v>10430888.041666668</v>
      </c>
      <c r="BK59" s="319">
        <f t="shared" si="77"/>
        <v>10430888.041666668</v>
      </c>
      <c r="BL59" s="319">
        <f t="shared" si="77"/>
        <v>10430888.041666668</v>
      </c>
      <c r="BM59" s="319">
        <f t="shared" si="77"/>
        <v>10430888.041666668</v>
      </c>
      <c r="BN59" s="319">
        <f t="shared" si="77"/>
        <v>10430888.041666668</v>
      </c>
      <c r="BO59" s="319">
        <f t="shared" si="77"/>
        <v>10430888.041666668</v>
      </c>
      <c r="BP59" s="319">
        <f t="shared" si="77"/>
        <v>10430888.041666668</v>
      </c>
      <c r="BQ59" s="319">
        <f t="shared" si="77"/>
        <v>10430888.041666668</v>
      </c>
      <c r="BR59" s="319">
        <f t="shared" si="77"/>
        <v>10430888.041666668</v>
      </c>
      <c r="BS59" s="319">
        <f t="shared" ref="BS59:CL59" si="78">BS43</f>
        <v>10430888.041666668</v>
      </c>
      <c r="BT59" s="319">
        <f t="shared" si="78"/>
        <v>10430888.041666668</v>
      </c>
      <c r="BU59" s="319">
        <f t="shared" si="78"/>
        <v>10430888.041666668</v>
      </c>
      <c r="BV59" s="319">
        <f t="shared" si="78"/>
        <v>10430888.041666668</v>
      </c>
      <c r="BW59" s="319">
        <f t="shared" si="78"/>
        <v>10430888.041666668</v>
      </c>
      <c r="BX59" s="319">
        <f t="shared" si="78"/>
        <v>10430888.041666668</v>
      </c>
      <c r="BY59" s="319">
        <f t="shared" si="78"/>
        <v>10430888.041666668</v>
      </c>
      <c r="BZ59" s="319">
        <f t="shared" si="78"/>
        <v>10430888.041666668</v>
      </c>
      <c r="CA59" s="319">
        <f t="shared" si="78"/>
        <v>10430888.041666668</v>
      </c>
      <c r="CB59" s="319">
        <f t="shared" si="78"/>
        <v>10430888.041666668</v>
      </c>
      <c r="CC59" s="319">
        <f t="shared" si="78"/>
        <v>10430888.041666668</v>
      </c>
      <c r="CD59" s="319">
        <f t="shared" si="78"/>
        <v>10430888.041666668</v>
      </c>
      <c r="CE59" s="319">
        <f t="shared" si="78"/>
        <v>10430888.041666668</v>
      </c>
      <c r="CF59" s="319">
        <f t="shared" si="78"/>
        <v>10430888.041666668</v>
      </c>
      <c r="CG59" s="319">
        <f t="shared" si="78"/>
        <v>10430888.041666668</v>
      </c>
      <c r="CH59" s="319">
        <f t="shared" si="78"/>
        <v>10430888.041666668</v>
      </c>
      <c r="CI59" s="319">
        <f t="shared" si="78"/>
        <v>10430888.041666668</v>
      </c>
      <c r="CJ59" s="319">
        <f t="shared" si="78"/>
        <v>10430888.041666668</v>
      </c>
      <c r="CK59" s="319">
        <f t="shared" si="78"/>
        <v>10430888.041666668</v>
      </c>
      <c r="CL59" s="319">
        <f t="shared" si="78"/>
        <v>10430888.041666668</v>
      </c>
      <c r="CM59" s="319">
        <f t="shared" si="75"/>
        <v>10430888.041666657</v>
      </c>
      <c r="CN59" s="58"/>
      <c r="CO59" s="58"/>
      <c r="CP59" s="58"/>
      <c r="CQ59" s="58"/>
      <c r="CR59" s="58"/>
      <c r="CS59" s="58"/>
      <c r="CT59" s="58"/>
      <c r="CU59" s="58"/>
      <c r="CV59" s="58"/>
      <c r="CW59" s="58"/>
      <c r="CX59" s="58"/>
      <c r="CY59" s="58"/>
      <c r="CZ59" s="58"/>
      <c r="DA59" s="58"/>
      <c r="DB59" s="58"/>
      <c r="DC59" s="58"/>
      <c r="DD59" s="58"/>
      <c r="DE59" s="58"/>
      <c r="DF59" s="58"/>
      <c r="DG59" s="58"/>
      <c r="DH59" s="58"/>
      <c r="DI59" s="58"/>
      <c r="DJ59" s="58"/>
      <c r="DK59" s="58"/>
      <c r="DL59" s="58"/>
      <c r="DM59" s="58"/>
      <c r="DN59" s="58"/>
      <c r="DO59" s="58"/>
      <c r="DP59" s="58"/>
      <c r="DQ59" s="58"/>
      <c r="DR59" s="58"/>
      <c r="DS59" s="58"/>
      <c r="DT59" s="58"/>
      <c r="DU59" s="58"/>
      <c r="DV59" s="58"/>
      <c r="DW59" s="58"/>
      <c r="DX59" s="58"/>
      <c r="DY59" s="58"/>
      <c r="DZ59" s="58"/>
      <c r="EA59" s="58"/>
      <c r="EB59" s="58"/>
      <c r="EC59" s="58"/>
      <c r="ED59" s="58"/>
      <c r="EE59" s="58"/>
      <c r="EF59" s="58"/>
      <c r="EG59" s="58"/>
      <c r="EH59" s="58"/>
      <c r="EI59" s="58"/>
      <c r="EJ59" s="58"/>
      <c r="EK59" s="58"/>
      <c r="EL59" s="58"/>
      <c r="EM59" s="58"/>
      <c r="EN59" s="58"/>
      <c r="EO59" s="58"/>
      <c r="EP59" s="58"/>
      <c r="EQ59" s="58"/>
      <c r="ER59" s="58"/>
      <c r="ES59" s="58"/>
      <c r="ET59" s="58"/>
      <c r="EU59" s="58"/>
      <c r="EV59" s="58"/>
      <c r="EW59" s="58"/>
      <c r="EX59" s="58"/>
      <c r="EY59" s="58"/>
      <c r="EZ59" s="58"/>
      <c r="FA59" s="58"/>
      <c r="FB59" s="58"/>
      <c r="FC59" s="58"/>
      <c r="FD59" s="58"/>
      <c r="FE59" s="58"/>
      <c r="FF59" s="58"/>
      <c r="FG59" s="58"/>
      <c r="FH59" s="58"/>
      <c r="FI59" s="58"/>
      <c r="FJ59" s="58"/>
      <c r="FK59" s="58"/>
      <c r="FL59" s="58"/>
      <c r="FM59" s="58"/>
      <c r="FN59" s="58"/>
      <c r="FO59" s="58"/>
      <c r="FP59" s="58"/>
      <c r="FQ59" s="58"/>
      <c r="FR59" s="58"/>
      <c r="FS59" s="58"/>
      <c r="FT59" s="58"/>
      <c r="FU59" s="58"/>
      <c r="FV59" s="58"/>
    </row>
    <row r="60" spans="1:178">
      <c r="A60" s="1055"/>
      <c r="B60" s="1055"/>
      <c r="C60" s="1055"/>
      <c r="D60" s="1055"/>
      <c r="E60" s="1056"/>
      <c r="F60" s="486" t="s">
        <v>187</v>
      </c>
      <c r="G60" s="482">
        <f t="shared" ref="G60:AL60" si="79">G41</f>
        <v>477339859.75181001</v>
      </c>
      <c r="H60" s="482">
        <f t="shared" si="79"/>
        <v>477339859.75181001</v>
      </c>
      <c r="I60" s="482">
        <f t="shared" si="79"/>
        <v>477339859.75181001</v>
      </c>
      <c r="J60" s="482">
        <f t="shared" si="79"/>
        <v>477341397.60980999</v>
      </c>
      <c r="K60" s="482">
        <f t="shared" si="79"/>
        <v>477697942.66397667</v>
      </c>
      <c r="L60" s="482">
        <f t="shared" si="79"/>
        <v>477698455.28331</v>
      </c>
      <c r="M60" s="482">
        <f t="shared" si="79"/>
        <v>477698455.28331</v>
      </c>
      <c r="N60" s="482">
        <f t="shared" si="79"/>
        <v>478699877.0237214</v>
      </c>
      <c r="O60" s="482">
        <f t="shared" si="79"/>
        <v>477698967.90264332</v>
      </c>
      <c r="P60" s="482">
        <f t="shared" si="79"/>
        <v>478701799.34622139</v>
      </c>
      <c r="Q60" s="482">
        <f t="shared" si="79"/>
        <v>479702708.46730095</v>
      </c>
      <c r="R60" s="482">
        <f t="shared" si="79"/>
        <v>480703617.58838046</v>
      </c>
      <c r="S60" s="482">
        <f t="shared" si="79"/>
        <v>481705039.32879186</v>
      </c>
      <c r="T60" s="482">
        <f t="shared" si="79"/>
        <v>482707675.01980197</v>
      </c>
      <c r="U60" s="482">
        <f t="shared" si="79"/>
        <v>483708770.14262933</v>
      </c>
      <c r="V60" s="482">
        <f t="shared" si="79"/>
        <v>484791866.97104126</v>
      </c>
      <c r="W60" s="482">
        <f t="shared" si="79"/>
        <v>485763063.50553155</v>
      </c>
      <c r="X60" s="482">
        <f t="shared" si="79"/>
        <v>486734260.04002035</v>
      </c>
      <c r="Y60" s="482">
        <f t="shared" si="79"/>
        <v>487705456.57451063</v>
      </c>
      <c r="Z60" s="482">
        <f t="shared" si="79"/>
        <v>488676653.10900104</v>
      </c>
      <c r="AA60" s="482">
        <f t="shared" si="79"/>
        <v>489647849.64348972</v>
      </c>
      <c r="AB60" s="482">
        <f t="shared" si="79"/>
        <v>490619046.17798007</v>
      </c>
      <c r="AC60" s="482">
        <f t="shared" si="79"/>
        <v>491590242.71247041</v>
      </c>
      <c r="AD60" s="482">
        <f t="shared" si="79"/>
        <v>492561439.24695915</v>
      </c>
      <c r="AE60" s="482">
        <f t="shared" si="79"/>
        <v>493533989.38562572</v>
      </c>
      <c r="AF60" s="482">
        <f t="shared" si="79"/>
        <v>494503832.31593835</v>
      </c>
      <c r="AG60" s="482">
        <f t="shared" si="79"/>
        <v>495475369.67694241</v>
      </c>
      <c r="AH60" s="482">
        <f t="shared" si="79"/>
        <v>496446225.38491893</v>
      </c>
      <c r="AI60" s="482">
        <f t="shared" si="79"/>
        <v>497417421.91940773</v>
      </c>
      <c r="AJ60" s="482">
        <f t="shared" si="79"/>
        <v>498388618.45389795</v>
      </c>
      <c r="AK60" s="482">
        <f t="shared" si="79"/>
        <v>499359814.98838836</v>
      </c>
      <c r="AL60" s="482">
        <f t="shared" si="79"/>
        <v>500331011.5228771</v>
      </c>
      <c r="AM60" s="482">
        <f t="shared" ref="AM60:BR60" si="80">AM41</f>
        <v>501302208.05736738</v>
      </c>
      <c r="AN60" s="482">
        <f t="shared" si="80"/>
        <v>502273404.59185624</v>
      </c>
      <c r="AO60" s="482">
        <f t="shared" si="80"/>
        <v>503244601.12634659</v>
      </c>
      <c r="AP60" s="482">
        <f t="shared" si="80"/>
        <v>504215797.66083676</v>
      </c>
      <c r="AQ60" s="482">
        <f t="shared" si="80"/>
        <v>505186994.19532567</v>
      </c>
      <c r="AR60" s="482">
        <f t="shared" si="80"/>
        <v>506158190.72981596</v>
      </c>
      <c r="AS60" s="482">
        <f t="shared" si="80"/>
        <v>507129387.26430625</v>
      </c>
      <c r="AT60" s="482">
        <f t="shared" si="80"/>
        <v>397254100.50479406</v>
      </c>
      <c r="AU60" s="319">
        <f t="shared" si="80"/>
        <v>483920683.09937733</v>
      </c>
      <c r="AV60" s="319">
        <f t="shared" si="80"/>
        <v>486492852.50090003</v>
      </c>
      <c r="AW60" s="319">
        <f t="shared" si="80"/>
        <v>470003230.81086928</v>
      </c>
      <c r="AX60" s="319">
        <f t="shared" si="80"/>
        <v>510457950.34473151</v>
      </c>
      <c r="AY60" s="319">
        <f t="shared" si="80"/>
        <v>553162168.22842276</v>
      </c>
      <c r="AZ60" s="319">
        <f t="shared" si="80"/>
        <v>565427599.63092494</v>
      </c>
      <c r="BA60" s="319">
        <f t="shared" si="80"/>
        <v>573239306.3241235</v>
      </c>
      <c r="BB60" s="319">
        <f t="shared" si="80"/>
        <v>564522945.84526408</v>
      </c>
      <c r="BC60" s="319">
        <f t="shared" si="80"/>
        <v>604665574.54017556</v>
      </c>
      <c r="BD60" s="319">
        <f t="shared" si="80"/>
        <v>572421107.51355517</v>
      </c>
      <c r="BE60" s="319">
        <f t="shared" si="80"/>
        <v>539028918.27821779</v>
      </c>
      <c r="BF60" s="319">
        <f t="shared" si="80"/>
        <v>533379218.89280331</v>
      </c>
      <c r="BG60" s="319">
        <f t="shared" si="80"/>
        <v>575250253.40292633</v>
      </c>
      <c r="BH60" s="319">
        <f t="shared" si="80"/>
        <v>517505070.30937654</v>
      </c>
      <c r="BI60" s="319">
        <f t="shared" si="80"/>
        <v>462028288.04331738</v>
      </c>
      <c r="BJ60" s="319">
        <f t="shared" si="80"/>
        <v>452326461.49762744</v>
      </c>
      <c r="BK60" s="319">
        <f t="shared" si="80"/>
        <v>478102151.58679408</v>
      </c>
      <c r="BL60" s="319">
        <f t="shared" si="80"/>
        <v>516531987.22804409</v>
      </c>
      <c r="BM60" s="319">
        <f t="shared" si="80"/>
        <v>477081672.95679414</v>
      </c>
      <c r="BN60" s="319">
        <f t="shared" si="80"/>
        <v>463412733.35696065</v>
      </c>
      <c r="BO60" s="319">
        <f t="shared" si="80"/>
        <v>545296724.03421068</v>
      </c>
      <c r="BP60" s="319">
        <f t="shared" si="80"/>
        <v>536313244.1419608</v>
      </c>
      <c r="BQ60" s="319">
        <f t="shared" si="80"/>
        <v>585625301.68612742</v>
      </c>
      <c r="BR60" s="319">
        <f t="shared" si="80"/>
        <v>507446624.24329406</v>
      </c>
      <c r="BS60" s="319">
        <f t="shared" ref="BS60:CL60" si="81">BS41</f>
        <v>488115950.56946075</v>
      </c>
      <c r="BT60" s="319">
        <f t="shared" si="81"/>
        <v>362489410.71162736</v>
      </c>
      <c r="BU60" s="319">
        <f t="shared" si="81"/>
        <v>435571461.97196072</v>
      </c>
      <c r="BV60" s="319">
        <f t="shared" si="81"/>
        <v>417692269.94046074</v>
      </c>
      <c r="BW60" s="319">
        <f t="shared" si="81"/>
        <v>316219858.75779402</v>
      </c>
      <c r="BX60" s="319">
        <f t="shared" si="81"/>
        <v>304150328.09362733</v>
      </c>
      <c r="BY60" s="319">
        <f t="shared" si="81"/>
        <v>347160133.70679402</v>
      </c>
      <c r="BZ60" s="319">
        <f t="shared" si="81"/>
        <v>399202612.36037743</v>
      </c>
      <c r="CA60" s="319">
        <f t="shared" si="81"/>
        <v>416833751.55804408</v>
      </c>
      <c r="CB60" s="319">
        <f t="shared" si="81"/>
        <v>454482913.72421074</v>
      </c>
      <c r="CC60" s="319">
        <f t="shared" si="81"/>
        <v>487440299.98029405</v>
      </c>
      <c r="CD60" s="319">
        <f t="shared" si="81"/>
        <v>553214450.02462733</v>
      </c>
      <c r="CE60" s="319">
        <f t="shared" si="81"/>
        <v>642408447.31871068</v>
      </c>
      <c r="CF60" s="319">
        <f t="shared" si="81"/>
        <v>575209700.68529415</v>
      </c>
      <c r="CG60" s="319">
        <f t="shared" si="81"/>
        <v>489513662.10529411</v>
      </c>
      <c r="CH60" s="319">
        <f t="shared" si="81"/>
        <v>485062579.28004408</v>
      </c>
      <c r="CI60" s="319">
        <f t="shared" si="81"/>
        <v>524684300.64087737</v>
      </c>
      <c r="CJ60" s="319">
        <f t="shared" si="81"/>
        <v>585379720.40979409</v>
      </c>
      <c r="CK60" s="319">
        <f t="shared" si="81"/>
        <v>667583905.9381274</v>
      </c>
      <c r="CL60" s="319">
        <f t="shared" si="81"/>
        <v>716866908.9507941</v>
      </c>
      <c r="CM60" s="319">
        <f t="shared" si="75"/>
        <v>496777617.45119029</v>
      </c>
      <c r="CN60" s="58"/>
      <c r="CO60" s="58"/>
      <c r="CP60" s="58"/>
      <c r="CQ60" s="58"/>
      <c r="CR60" s="58"/>
      <c r="CS60" s="58"/>
      <c r="CT60" s="58"/>
      <c r="CU60" s="58"/>
      <c r="CV60" s="58"/>
      <c r="CW60" s="58"/>
      <c r="CX60" s="58"/>
      <c r="CY60" s="58"/>
      <c r="CZ60" s="58"/>
      <c r="DA60" s="58"/>
      <c r="DB60" s="58"/>
      <c r="DC60" s="58"/>
      <c r="DD60" s="58"/>
      <c r="DE60" s="58"/>
      <c r="DF60" s="58"/>
      <c r="DG60" s="58"/>
      <c r="DH60" s="58"/>
      <c r="DI60" s="58"/>
      <c r="DJ60" s="58"/>
      <c r="DK60" s="58"/>
      <c r="DL60" s="58"/>
      <c r="DM60" s="58"/>
      <c r="DN60" s="58"/>
      <c r="DO60" s="58"/>
      <c r="DP60" s="58"/>
      <c r="DQ60" s="58"/>
      <c r="DR60" s="58"/>
      <c r="DS60" s="58"/>
      <c r="DT60" s="58"/>
      <c r="DU60" s="58"/>
      <c r="DV60" s="58"/>
      <c r="DW60" s="58"/>
      <c r="DX60" s="58"/>
      <c r="DY60" s="58"/>
      <c r="DZ60" s="58"/>
      <c r="EA60" s="58"/>
      <c r="EB60" s="58"/>
      <c r="EC60" s="58"/>
      <c r="ED60" s="58"/>
      <c r="EE60" s="58"/>
      <c r="EF60" s="58"/>
      <c r="EG60" s="58"/>
      <c r="EH60" s="58"/>
      <c r="EI60" s="58"/>
      <c r="EJ60" s="58"/>
      <c r="EK60" s="58"/>
      <c r="EL60" s="58"/>
      <c r="EM60" s="58"/>
      <c r="EN60" s="58"/>
      <c r="EO60" s="58"/>
      <c r="EP60" s="58"/>
      <c r="EQ60" s="58"/>
      <c r="ER60" s="58"/>
      <c r="ES60" s="58"/>
      <c r="ET60" s="58"/>
      <c r="EU60" s="58"/>
      <c r="EV60" s="58"/>
      <c r="EW60" s="58"/>
      <c r="EX60" s="58"/>
      <c r="EY60" s="58"/>
      <c r="EZ60" s="58"/>
      <c r="FA60" s="58"/>
      <c r="FB60" s="58"/>
      <c r="FC60" s="58"/>
      <c r="FD60" s="58"/>
      <c r="FE60" s="58"/>
      <c r="FF60" s="58"/>
      <c r="FG60" s="58"/>
      <c r="FH60" s="58"/>
      <c r="FI60" s="58"/>
      <c r="FJ60" s="58"/>
      <c r="FK60" s="58"/>
      <c r="FL60" s="58"/>
      <c r="FM60" s="58"/>
      <c r="FN60" s="58"/>
      <c r="FO60" s="58"/>
      <c r="FP60" s="58"/>
      <c r="FQ60" s="58"/>
      <c r="FR60" s="58"/>
      <c r="FS60" s="58"/>
      <c r="FT60" s="58"/>
      <c r="FU60" s="58"/>
      <c r="FV60" s="58"/>
    </row>
    <row r="61" spans="1:178">
      <c r="A61" s="1055"/>
      <c r="B61" s="1055"/>
      <c r="C61" s="1055"/>
      <c r="D61" s="1055"/>
      <c r="E61" s="1056"/>
      <c r="F61" s="363" t="s">
        <v>188</v>
      </c>
      <c r="G61" s="482">
        <f t="shared" ref="G61:AL61" si="82">G45</f>
        <v>286609130.83333337</v>
      </c>
      <c r="H61" s="482">
        <f t="shared" si="82"/>
        <v>286609130.83333337</v>
      </c>
      <c r="I61" s="482">
        <f t="shared" si="82"/>
        <v>286609130.83333337</v>
      </c>
      <c r="J61" s="482">
        <f t="shared" si="82"/>
        <v>286609130.83333337</v>
      </c>
      <c r="K61" s="482">
        <f t="shared" si="82"/>
        <v>286609130.83333337</v>
      </c>
      <c r="L61" s="482">
        <f t="shared" si="82"/>
        <v>286609130.83333337</v>
      </c>
      <c r="M61" s="482">
        <f t="shared" si="82"/>
        <v>286609130.83333337</v>
      </c>
      <c r="N61" s="482">
        <f t="shared" si="82"/>
        <v>286609130.83333337</v>
      </c>
      <c r="O61" s="482">
        <f t="shared" si="82"/>
        <v>286609130.83333337</v>
      </c>
      <c r="P61" s="482">
        <f t="shared" si="82"/>
        <v>286609130.83333337</v>
      </c>
      <c r="Q61" s="482">
        <f t="shared" si="82"/>
        <v>286609130.83333337</v>
      </c>
      <c r="R61" s="482">
        <f t="shared" si="82"/>
        <v>286609130.83333337</v>
      </c>
      <c r="S61" s="482">
        <f t="shared" si="82"/>
        <v>286609130.83333337</v>
      </c>
      <c r="T61" s="482">
        <f t="shared" si="82"/>
        <v>286609130.83333337</v>
      </c>
      <c r="U61" s="482">
        <f t="shared" si="82"/>
        <v>286609130.83333337</v>
      </c>
      <c r="V61" s="482">
        <f t="shared" si="82"/>
        <v>286609130.83333337</v>
      </c>
      <c r="W61" s="482">
        <f t="shared" si="82"/>
        <v>286609130.83333337</v>
      </c>
      <c r="X61" s="482">
        <f t="shared" si="82"/>
        <v>286609130.83333337</v>
      </c>
      <c r="Y61" s="482">
        <f t="shared" si="82"/>
        <v>286609130.83333337</v>
      </c>
      <c r="Z61" s="482">
        <f t="shared" si="82"/>
        <v>286609130.83333337</v>
      </c>
      <c r="AA61" s="482">
        <f t="shared" si="82"/>
        <v>286609130.83333337</v>
      </c>
      <c r="AB61" s="482">
        <f t="shared" si="82"/>
        <v>286609130.83333337</v>
      </c>
      <c r="AC61" s="482">
        <f t="shared" si="82"/>
        <v>286609130.83333337</v>
      </c>
      <c r="AD61" s="482">
        <f t="shared" si="82"/>
        <v>286609130.83333337</v>
      </c>
      <c r="AE61" s="482">
        <f t="shared" si="82"/>
        <v>286609130.83333337</v>
      </c>
      <c r="AF61" s="482">
        <f t="shared" si="82"/>
        <v>286609130.83333337</v>
      </c>
      <c r="AG61" s="482">
        <f t="shared" si="82"/>
        <v>286609130.83333337</v>
      </c>
      <c r="AH61" s="482">
        <f t="shared" si="82"/>
        <v>286609130.83333337</v>
      </c>
      <c r="AI61" s="482">
        <f t="shared" si="82"/>
        <v>286609130.83333337</v>
      </c>
      <c r="AJ61" s="482">
        <f t="shared" si="82"/>
        <v>286609130.83333337</v>
      </c>
      <c r="AK61" s="482">
        <f t="shared" si="82"/>
        <v>286609130.83333337</v>
      </c>
      <c r="AL61" s="482">
        <f t="shared" si="82"/>
        <v>286609130.83333337</v>
      </c>
      <c r="AM61" s="482">
        <f t="shared" ref="AM61:BR61" si="83">AM45</f>
        <v>286609130.83333337</v>
      </c>
      <c r="AN61" s="482">
        <f t="shared" si="83"/>
        <v>286609130.83333337</v>
      </c>
      <c r="AO61" s="482">
        <f t="shared" si="83"/>
        <v>286609130.83333337</v>
      </c>
      <c r="AP61" s="482">
        <f t="shared" si="83"/>
        <v>286609130.83333337</v>
      </c>
      <c r="AQ61" s="482">
        <f t="shared" si="83"/>
        <v>286609130.83333337</v>
      </c>
      <c r="AR61" s="482">
        <f t="shared" si="83"/>
        <v>286609130.83333337</v>
      </c>
      <c r="AS61" s="482">
        <f t="shared" si="83"/>
        <v>286609130.83333337</v>
      </c>
      <c r="AT61" s="482">
        <f t="shared" si="83"/>
        <v>286609130.83333337</v>
      </c>
      <c r="AU61" s="319">
        <f t="shared" si="83"/>
        <v>286609130.83333337</v>
      </c>
      <c r="AV61" s="319">
        <f t="shared" si="83"/>
        <v>286609130.83333337</v>
      </c>
      <c r="AW61" s="319">
        <f t="shared" si="83"/>
        <v>286609130.83333337</v>
      </c>
      <c r="AX61" s="319">
        <f t="shared" si="83"/>
        <v>286609130.83333337</v>
      </c>
      <c r="AY61" s="319">
        <f t="shared" si="83"/>
        <v>286609130.83333337</v>
      </c>
      <c r="AZ61" s="319">
        <f t="shared" si="83"/>
        <v>286609130.83333337</v>
      </c>
      <c r="BA61" s="319">
        <f t="shared" si="83"/>
        <v>286609130.83333337</v>
      </c>
      <c r="BB61" s="319">
        <f t="shared" si="83"/>
        <v>286609130.83333337</v>
      </c>
      <c r="BC61" s="319">
        <f t="shared" si="83"/>
        <v>286609130.83333337</v>
      </c>
      <c r="BD61" s="319">
        <f t="shared" si="83"/>
        <v>286609130.83333337</v>
      </c>
      <c r="BE61" s="319">
        <f t="shared" si="83"/>
        <v>286609130.83333337</v>
      </c>
      <c r="BF61" s="319">
        <f t="shared" si="83"/>
        <v>286609130.83333337</v>
      </c>
      <c r="BG61" s="319">
        <f t="shared" si="83"/>
        <v>286609130.83333337</v>
      </c>
      <c r="BH61" s="319">
        <f t="shared" si="83"/>
        <v>286609130.83333337</v>
      </c>
      <c r="BI61" s="319">
        <f t="shared" si="83"/>
        <v>286609130.83333337</v>
      </c>
      <c r="BJ61" s="319">
        <f t="shared" si="83"/>
        <v>286609130.83333337</v>
      </c>
      <c r="BK61" s="319">
        <f t="shared" si="83"/>
        <v>286609130.83333337</v>
      </c>
      <c r="BL61" s="319">
        <f t="shared" si="83"/>
        <v>286609130.83333337</v>
      </c>
      <c r="BM61" s="319">
        <f t="shared" si="83"/>
        <v>286609130.83333337</v>
      </c>
      <c r="BN61" s="319">
        <f t="shared" si="83"/>
        <v>286609130.83333337</v>
      </c>
      <c r="BO61" s="319">
        <f t="shared" si="83"/>
        <v>286609130.83333337</v>
      </c>
      <c r="BP61" s="319">
        <f t="shared" si="83"/>
        <v>286609130.83333337</v>
      </c>
      <c r="BQ61" s="319">
        <f t="shared" si="83"/>
        <v>286609130.83333337</v>
      </c>
      <c r="BR61" s="319">
        <f t="shared" si="83"/>
        <v>286609130.83333337</v>
      </c>
      <c r="BS61" s="319">
        <f t="shared" ref="BS61:CL61" si="84">BS45</f>
        <v>286609130.83333337</v>
      </c>
      <c r="BT61" s="319">
        <f t="shared" si="84"/>
        <v>286609130.83333337</v>
      </c>
      <c r="BU61" s="319">
        <f t="shared" si="84"/>
        <v>286609130.83333337</v>
      </c>
      <c r="BV61" s="319">
        <f t="shared" si="84"/>
        <v>286609130.83333337</v>
      </c>
      <c r="BW61" s="319">
        <f t="shared" si="84"/>
        <v>286609130.83333337</v>
      </c>
      <c r="BX61" s="319">
        <f t="shared" si="84"/>
        <v>286609130.83333337</v>
      </c>
      <c r="BY61" s="319">
        <f t="shared" si="84"/>
        <v>286609130.83333337</v>
      </c>
      <c r="BZ61" s="319">
        <f t="shared" si="84"/>
        <v>286609130.83333337</v>
      </c>
      <c r="CA61" s="319">
        <f t="shared" si="84"/>
        <v>286609130.83333337</v>
      </c>
      <c r="CB61" s="319">
        <f t="shared" si="84"/>
        <v>286609130.83333337</v>
      </c>
      <c r="CC61" s="319">
        <f t="shared" si="84"/>
        <v>286609130.83333337</v>
      </c>
      <c r="CD61" s="319">
        <f t="shared" si="84"/>
        <v>286609130.83333337</v>
      </c>
      <c r="CE61" s="319">
        <f t="shared" si="84"/>
        <v>286609130.83333337</v>
      </c>
      <c r="CF61" s="319">
        <f t="shared" si="84"/>
        <v>286609130.83333337</v>
      </c>
      <c r="CG61" s="319">
        <f t="shared" si="84"/>
        <v>286609130.83333337</v>
      </c>
      <c r="CH61" s="319">
        <f t="shared" si="84"/>
        <v>286609130.83333337</v>
      </c>
      <c r="CI61" s="319">
        <f t="shared" si="84"/>
        <v>286609130.83333337</v>
      </c>
      <c r="CJ61" s="319">
        <f t="shared" si="84"/>
        <v>286609130.83333337</v>
      </c>
      <c r="CK61" s="319">
        <f t="shared" si="84"/>
        <v>286609130.83333337</v>
      </c>
      <c r="CL61" s="319">
        <f t="shared" si="84"/>
        <v>286609130.83333337</v>
      </c>
      <c r="CM61" s="319">
        <f t="shared" si="75"/>
        <v>286609130.83333313</v>
      </c>
      <c r="CN61" s="58"/>
      <c r="CO61" s="58"/>
      <c r="CP61" s="58"/>
      <c r="CQ61" s="58"/>
      <c r="CR61" s="58"/>
      <c r="CS61" s="58"/>
      <c r="CT61" s="58"/>
      <c r="CU61" s="58"/>
      <c r="CV61" s="58"/>
      <c r="CW61" s="58"/>
      <c r="CX61" s="58"/>
      <c r="CY61" s="58"/>
      <c r="CZ61" s="58"/>
      <c r="DA61" s="58"/>
      <c r="DB61" s="58"/>
      <c r="DC61" s="58"/>
      <c r="DD61" s="58"/>
      <c r="DE61" s="58"/>
      <c r="DF61" s="58"/>
      <c r="DG61" s="58"/>
      <c r="DH61" s="58"/>
      <c r="DI61" s="58"/>
      <c r="DJ61" s="58"/>
      <c r="DK61" s="58"/>
      <c r="DL61" s="58"/>
      <c r="DM61" s="58"/>
      <c r="DN61" s="58"/>
      <c r="DO61" s="58"/>
      <c r="DP61" s="58"/>
      <c r="DQ61" s="58"/>
      <c r="DR61" s="58"/>
      <c r="DS61" s="58"/>
      <c r="DT61" s="58"/>
      <c r="DU61" s="58"/>
      <c r="DV61" s="58"/>
      <c r="DW61" s="58"/>
      <c r="DX61" s="58"/>
      <c r="DY61" s="58"/>
      <c r="DZ61" s="58"/>
      <c r="EA61" s="58"/>
      <c r="EB61" s="58"/>
      <c r="EC61" s="58"/>
      <c r="ED61" s="58"/>
      <c r="EE61" s="58"/>
      <c r="EF61" s="58"/>
      <c r="EG61" s="58"/>
      <c r="EH61" s="58"/>
      <c r="EI61" s="58"/>
      <c r="EJ61" s="58"/>
      <c r="EK61" s="58"/>
      <c r="EL61" s="58"/>
      <c r="EM61" s="58"/>
      <c r="EN61" s="58"/>
      <c r="EO61" s="58"/>
      <c r="EP61" s="58"/>
      <c r="EQ61" s="58"/>
      <c r="ER61" s="58"/>
      <c r="ES61" s="58"/>
      <c r="ET61" s="58"/>
      <c r="EU61" s="58"/>
      <c r="EV61" s="58"/>
      <c r="EW61" s="58"/>
      <c r="EX61" s="58"/>
      <c r="EY61" s="58"/>
      <c r="EZ61" s="58"/>
      <c r="FA61" s="58"/>
      <c r="FB61" s="58"/>
      <c r="FC61" s="58"/>
      <c r="FD61" s="58"/>
      <c r="FE61" s="58"/>
      <c r="FF61" s="58"/>
      <c r="FG61" s="58"/>
      <c r="FH61" s="58"/>
      <c r="FI61" s="58"/>
      <c r="FJ61" s="58"/>
      <c r="FK61" s="58"/>
      <c r="FL61" s="58"/>
      <c r="FM61" s="58"/>
      <c r="FN61" s="58"/>
      <c r="FO61" s="58"/>
      <c r="FP61" s="58"/>
      <c r="FQ61" s="58"/>
      <c r="FR61" s="58"/>
      <c r="FS61" s="58"/>
      <c r="FT61" s="58"/>
      <c r="FU61" s="58"/>
      <c r="FV61" s="58"/>
    </row>
    <row r="62" spans="1:178">
      <c r="A62" s="1055"/>
      <c r="B62" s="1055"/>
      <c r="C62" s="1055"/>
      <c r="D62" s="1055"/>
      <c r="E62" s="1056"/>
      <c r="F62" s="363" t="s">
        <v>189</v>
      </c>
      <c r="G62" s="482">
        <f t="shared" ref="G62:AL62" si="85">G44</f>
        <v>725356356.66666675</v>
      </c>
      <c r="H62" s="482">
        <f t="shared" si="85"/>
        <v>725356356.66666675</v>
      </c>
      <c r="I62" s="482">
        <f t="shared" si="85"/>
        <v>725356356.66666675</v>
      </c>
      <c r="J62" s="482">
        <f t="shared" si="85"/>
        <v>725356356.66666675</v>
      </c>
      <c r="K62" s="482">
        <f t="shared" si="85"/>
        <v>725356356.66666675</v>
      </c>
      <c r="L62" s="482">
        <f t="shared" si="85"/>
        <v>725356356.66666675</v>
      </c>
      <c r="M62" s="482">
        <f t="shared" si="85"/>
        <v>725356356.66666675</v>
      </c>
      <c r="N62" s="482">
        <f t="shared" si="85"/>
        <v>725356356.66666675</v>
      </c>
      <c r="O62" s="482">
        <f t="shared" si="85"/>
        <v>725356356.66666675</v>
      </c>
      <c r="P62" s="482">
        <f t="shared" si="85"/>
        <v>725356356.66666675</v>
      </c>
      <c r="Q62" s="482">
        <f t="shared" si="85"/>
        <v>725356356.66666675</v>
      </c>
      <c r="R62" s="482">
        <f t="shared" si="85"/>
        <v>725356356.66666675</v>
      </c>
      <c r="S62" s="482">
        <f t="shared" si="85"/>
        <v>725356356.66666675</v>
      </c>
      <c r="T62" s="482">
        <f t="shared" si="85"/>
        <v>725356356.66666675</v>
      </c>
      <c r="U62" s="482">
        <f t="shared" si="85"/>
        <v>725356356.66666675</v>
      </c>
      <c r="V62" s="482">
        <f t="shared" si="85"/>
        <v>725356356.66666675</v>
      </c>
      <c r="W62" s="482">
        <f t="shared" si="85"/>
        <v>725356356.66666675</v>
      </c>
      <c r="X62" s="482">
        <f t="shared" si="85"/>
        <v>725356356.66666675</v>
      </c>
      <c r="Y62" s="482">
        <f t="shared" si="85"/>
        <v>725356356.66666675</v>
      </c>
      <c r="Z62" s="482">
        <f t="shared" si="85"/>
        <v>725356356.66666675</v>
      </c>
      <c r="AA62" s="482">
        <f t="shared" si="85"/>
        <v>725356356.66666675</v>
      </c>
      <c r="AB62" s="482">
        <f t="shared" si="85"/>
        <v>725356356.66666675</v>
      </c>
      <c r="AC62" s="482">
        <f t="shared" si="85"/>
        <v>725356356.66666675</v>
      </c>
      <c r="AD62" s="482">
        <f t="shared" si="85"/>
        <v>725356356.66666675</v>
      </c>
      <c r="AE62" s="482">
        <f t="shared" si="85"/>
        <v>725356356.66666675</v>
      </c>
      <c r="AF62" s="482">
        <f t="shared" si="85"/>
        <v>725356356.66666675</v>
      </c>
      <c r="AG62" s="482">
        <f t="shared" si="85"/>
        <v>725356356.66666675</v>
      </c>
      <c r="AH62" s="482">
        <f t="shared" si="85"/>
        <v>725356356.66666675</v>
      </c>
      <c r="AI62" s="482">
        <f t="shared" si="85"/>
        <v>725356356.66666675</v>
      </c>
      <c r="AJ62" s="482">
        <f t="shared" si="85"/>
        <v>725356356.66666675</v>
      </c>
      <c r="AK62" s="482">
        <f t="shared" si="85"/>
        <v>725356356.66666675</v>
      </c>
      <c r="AL62" s="482">
        <f t="shared" si="85"/>
        <v>725356356.66666675</v>
      </c>
      <c r="AM62" s="482">
        <f t="shared" ref="AM62:BR62" si="86">AM44</f>
        <v>725356356.66666675</v>
      </c>
      <c r="AN62" s="482">
        <f t="shared" si="86"/>
        <v>725356356.66666675</v>
      </c>
      <c r="AO62" s="482">
        <f t="shared" si="86"/>
        <v>725356356.66666675</v>
      </c>
      <c r="AP62" s="482">
        <f t="shared" si="86"/>
        <v>725356356.66666675</v>
      </c>
      <c r="AQ62" s="482">
        <f t="shared" si="86"/>
        <v>725356356.66666675</v>
      </c>
      <c r="AR62" s="482">
        <f t="shared" si="86"/>
        <v>725356356.66666675</v>
      </c>
      <c r="AS62" s="482">
        <f t="shared" si="86"/>
        <v>725356356.66666675</v>
      </c>
      <c r="AT62" s="482">
        <f t="shared" si="86"/>
        <v>725356356.66666675</v>
      </c>
      <c r="AU62" s="319">
        <f t="shared" si="86"/>
        <v>725356356.66666675</v>
      </c>
      <c r="AV62" s="319">
        <f t="shared" si="86"/>
        <v>725356356.66666675</v>
      </c>
      <c r="AW62" s="319">
        <f t="shared" si="86"/>
        <v>725356356.66666675</v>
      </c>
      <c r="AX62" s="319">
        <f t="shared" si="86"/>
        <v>725356356.66666675</v>
      </c>
      <c r="AY62" s="319">
        <f t="shared" si="86"/>
        <v>725356356.66666675</v>
      </c>
      <c r="AZ62" s="319">
        <f t="shared" si="86"/>
        <v>725356356.66666675</v>
      </c>
      <c r="BA62" s="319">
        <f t="shared" si="86"/>
        <v>725356356.66666675</v>
      </c>
      <c r="BB62" s="319">
        <f t="shared" si="86"/>
        <v>725356356.66666675</v>
      </c>
      <c r="BC62" s="319">
        <f t="shared" si="86"/>
        <v>725356356.66666675</v>
      </c>
      <c r="BD62" s="319">
        <f t="shared" si="86"/>
        <v>725356356.66666675</v>
      </c>
      <c r="BE62" s="319">
        <f t="shared" si="86"/>
        <v>725356356.66666675</v>
      </c>
      <c r="BF62" s="319">
        <f t="shared" si="86"/>
        <v>725356356.66666675</v>
      </c>
      <c r="BG62" s="319">
        <f t="shared" si="86"/>
        <v>725356356.66666675</v>
      </c>
      <c r="BH62" s="319">
        <f t="shared" si="86"/>
        <v>725356356.66666675</v>
      </c>
      <c r="BI62" s="319">
        <f t="shared" si="86"/>
        <v>725356356.66666675</v>
      </c>
      <c r="BJ62" s="319">
        <f t="shared" si="86"/>
        <v>725356356.66666675</v>
      </c>
      <c r="BK62" s="319">
        <f t="shared" si="86"/>
        <v>725356356.66666675</v>
      </c>
      <c r="BL62" s="319">
        <f t="shared" si="86"/>
        <v>725356356.66666675</v>
      </c>
      <c r="BM62" s="319">
        <f t="shared" si="86"/>
        <v>725356356.66666675</v>
      </c>
      <c r="BN62" s="319">
        <f t="shared" si="86"/>
        <v>725356356.66666675</v>
      </c>
      <c r="BO62" s="319">
        <f t="shared" si="86"/>
        <v>725356356.66666675</v>
      </c>
      <c r="BP62" s="319">
        <f t="shared" si="86"/>
        <v>725356356.66666675</v>
      </c>
      <c r="BQ62" s="319">
        <f t="shared" si="86"/>
        <v>725356356.66666675</v>
      </c>
      <c r="BR62" s="319">
        <f t="shared" si="86"/>
        <v>725356356.66666675</v>
      </c>
      <c r="BS62" s="319">
        <f t="shared" ref="BS62:CL62" si="87">BS44</f>
        <v>725356356.66666675</v>
      </c>
      <c r="BT62" s="319">
        <f t="shared" si="87"/>
        <v>725356356.66666675</v>
      </c>
      <c r="BU62" s="319">
        <f t="shared" si="87"/>
        <v>725356356.66666675</v>
      </c>
      <c r="BV62" s="319">
        <f t="shared" si="87"/>
        <v>725356356.66666675</v>
      </c>
      <c r="BW62" s="319">
        <f t="shared" si="87"/>
        <v>725356356.66666675</v>
      </c>
      <c r="BX62" s="319">
        <f t="shared" si="87"/>
        <v>725356356.66666675</v>
      </c>
      <c r="BY62" s="319">
        <f t="shared" si="87"/>
        <v>725356356.66666675</v>
      </c>
      <c r="BZ62" s="319">
        <f t="shared" si="87"/>
        <v>725356356.66666675</v>
      </c>
      <c r="CA62" s="319">
        <f t="shared" si="87"/>
        <v>725356356.66666675</v>
      </c>
      <c r="CB62" s="319">
        <f t="shared" si="87"/>
        <v>725356356.66666675</v>
      </c>
      <c r="CC62" s="319">
        <f t="shared" si="87"/>
        <v>725356356.66666675</v>
      </c>
      <c r="CD62" s="319">
        <f t="shared" si="87"/>
        <v>725356356.66666675</v>
      </c>
      <c r="CE62" s="319">
        <f t="shared" si="87"/>
        <v>725356356.66666675</v>
      </c>
      <c r="CF62" s="319">
        <f t="shared" si="87"/>
        <v>725356356.66666675</v>
      </c>
      <c r="CG62" s="319">
        <f t="shared" si="87"/>
        <v>725356356.66666675</v>
      </c>
      <c r="CH62" s="319">
        <f t="shared" si="87"/>
        <v>725356356.66666675</v>
      </c>
      <c r="CI62" s="319">
        <f t="shared" si="87"/>
        <v>725356356.66666675</v>
      </c>
      <c r="CJ62" s="319">
        <f t="shared" si="87"/>
        <v>725356356.66666675</v>
      </c>
      <c r="CK62" s="319">
        <f t="shared" si="87"/>
        <v>725356356.66666675</v>
      </c>
      <c r="CL62" s="319">
        <f t="shared" si="87"/>
        <v>725356356.66666675</v>
      </c>
      <c r="CM62" s="319">
        <f t="shared" si="75"/>
        <v>725356356.66666579</v>
      </c>
      <c r="CN62" s="58"/>
      <c r="CO62" s="58"/>
      <c r="CP62" s="58"/>
      <c r="CQ62" s="58"/>
      <c r="CR62" s="58"/>
      <c r="CS62" s="58"/>
      <c r="CT62" s="58"/>
      <c r="CU62" s="58"/>
      <c r="CV62" s="58"/>
      <c r="CW62" s="58"/>
      <c r="CX62" s="58"/>
      <c r="CY62" s="58"/>
      <c r="CZ62" s="58"/>
      <c r="DA62" s="58"/>
      <c r="DB62" s="58"/>
      <c r="DC62" s="58"/>
      <c r="DD62" s="58"/>
      <c r="DE62" s="58"/>
      <c r="DF62" s="58"/>
      <c r="DG62" s="58"/>
      <c r="DH62" s="58"/>
      <c r="DI62" s="58"/>
      <c r="DJ62" s="58"/>
      <c r="DK62" s="58"/>
      <c r="DL62" s="58"/>
      <c r="DM62" s="58"/>
      <c r="DN62" s="58"/>
      <c r="DO62" s="58"/>
      <c r="DP62" s="58"/>
      <c r="DQ62" s="58"/>
      <c r="DR62" s="58"/>
      <c r="DS62" s="58"/>
      <c r="DT62" s="58"/>
      <c r="DU62" s="58"/>
      <c r="DV62" s="58"/>
      <c r="DW62" s="58"/>
      <c r="DX62" s="58"/>
      <c r="DY62" s="58"/>
      <c r="DZ62" s="58"/>
      <c r="EA62" s="58"/>
      <c r="EB62" s="58"/>
      <c r="EC62" s="58"/>
      <c r="ED62" s="58"/>
      <c r="EE62" s="58"/>
      <c r="EF62" s="58"/>
      <c r="EG62" s="58"/>
      <c r="EH62" s="58"/>
      <c r="EI62" s="58"/>
      <c r="EJ62" s="58"/>
      <c r="EK62" s="58"/>
      <c r="EL62" s="58"/>
      <c r="EM62" s="58"/>
      <c r="EN62" s="58"/>
      <c r="EO62" s="58"/>
      <c r="EP62" s="58"/>
      <c r="EQ62" s="58"/>
      <c r="ER62" s="58"/>
      <c r="ES62" s="58"/>
      <c r="ET62" s="58"/>
      <c r="EU62" s="58"/>
      <c r="EV62" s="58"/>
      <c r="EW62" s="58"/>
      <c r="EX62" s="58"/>
      <c r="EY62" s="58"/>
      <c r="EZ62" s="58"/>
      <c r="FA62" s="58"/>
      <c r="FB62" s="58"/>
      <c r="FC62" s="58"/>
      <c r="FD62" s="58"/>
      <c r="FE62" s="58"/>
      <c r="FF62" s="58"/>
      <c r="FG62" s="58"/>
      <c r="FH62" s="58"/>
      <c r="FI62" s="58"/>
      <c r="FJ62" s="58"/>
      <c r="FK62" s="58"/>
      <c r="FL62" s="58"/>
      <c r="FM62" s="58"/>
      <c r="FN62" s="58"/>
      <c r="FO62" s="58"/>
      <c r="FP62" s="58"/>
      <c r="FQ62" s="58"/>
      <c r="FR62" s="58"/>
      <c r="FS62" s="58"/>
      <c r="FT62" s="58"/>
      <c r="FU62" s="58"/>
      <c r="FV62" s="58"/>
    </row>
    <row r="63" spans="1:178">
      <c r="A63" s="1055"/>
      <c r="B63" s="1055"/>
      <c r="C63" s="1055"/>
      <c r="D63" s="1055"/>
      <c r="E63" s="1056"/>
      <c r="F63" s="363" t="s">
        <v>190</v>
      </c>
      <c r="G63" s="482">
        <f t="shared" ref="G63:AS63" si="88">SUM(G58:G62)</f>
        <v>1505047020.0322664</v>
      </c>
      <c r="H63" s="482">
        <f t="shared" si="88"/>
        <v>1505047020.0322664</v>
      </c>
      <c r="I63" s="482">
        <f t="shared" si="88"/>
        <v>1505047020.0322664</v>
      </c>
      <c r="J63" s="482">
        <f t="shared" si="88"/>
        <v>1505048557.8902664</v>
      </c>
      <c r="K63" s="482">
        <f t="shared" si="88"/>
        <v>1505405102.944433</v>
      </c>
      <c r="L63" s="482">
        <f t="shared" si="88"/>
        <v>1505405615.5637665</v>
      </c>
      <c r="M63" s="482">
        <f t="shared" si="88"/>
        <v>1505405615.5637665</v>
      </c>
      <c r="N63" s="482">
        <f t="shared" si="88"/>
        <v>1506407037.3041778</v>
      </c>
      <c r="O63" s="482">
        <f t="shared" si="88"/>
        <v>1505406128.1830997</v>
      </c>
      <c r="P63" s="482">
        <f t="shared" si="88"/>
        <v>1506408959.6266778</v>
      </c>
      <c r="Q63" s="482">
        <f t="shared" si="88"/>
        <v>1507409868.7477574</v>
      </c>
      <c r="R63" s="482">
        <f t="shared" si="88"/>
        <v>1508410777.8688369</v>
      </c>
      <c r="S63" s="482">
        <f t="shared" si="88"/>
        <v>1509412199.6092482</v>
      </c>
      <c r="T63" s="482">
        <f t="shared" si="88"/>
        <v>1510414835.3002584</v>
      </c>
      <c r="U63" s="482">
        <f t="shared" si="88"/>
        <v>1511415930.4230857</v>
      </c>
      <c r="V63" s="482">
        <f t="shared" si="88"/>
        <v>1512499027.2514977</v>
      </c>
      <c r="W63" s="482">
        <f t="shared" si="88"/>
        <v>1513470223.7859879</v>
      </c>
      <c r="X63" s="482">
        <f t="shared" si="88"/>
        <v>1514441420.3204768</v>
      </c>
      <c r="Y63" s="482">
        <f t="shared" si="88"/>
        <v>1515412616.8549671</v>
      </c>
      <c r="Z63" s="482">
        <f t="shared" si="88"/>
        <v>1516383813.3894575</v>
      </c>
      <c r="AA63" s="482">
        <f t="shared" si="88"/>
        <v>1517355009.9239461</v>
      </c>
      <c r="AB63" s="482">
        <f t="shared" si="88"/>
        <v>1518326206.4584365</v>
      </c>
      <c r="AC63" s="482">
        <f t="shared" si="88"/>
        <v>1519297402.9929268</v>
      </c>
      <c r="AD63" s="482">
        <f t="shared" si="88"/>
        <v>1520268599.5274155</v>
      </c>
      <c r="AE63" s="482">
        <f t="shared" si="88"/>
        <v>1521241149.6660821</v>
      </c>
      <c r="AF63" s="482">
        <f t="shared" si="88"/>
        <v>1522210992.5963948</v>
      </c>
      <c r="AG63" s="482">
        <f t="shared" si="88"/>
        <v>1523182529.9573989</v>
      </c>
      <c r="AH63" s="482">
        <f t="shared" si="88"/>
        <v>1524153385.6653752</v>
      </c>
      <c r="AI63" s="482">
        <f t="shared" si="88"/>
        <v>1525124582.1998641</v>
      </c>
      <c r="AJ63" s="482">
        <f t="shared" si="88"/>
        <v>1526095778.7343543</v>
      </c>
      <c r="AK63" s="482">
        <f t="shared" si="88"/>
        <v>1527066975.2688446</v>
      </c>
      <c r="AL63" s="482">
        <f t="shared" si="88"/>
        <v>1528038171.8033335</v>
      </c>
      <c r="AM63" s="482">
        <f t="shared" si="88"/>
        <v>1529009368.3378239</v>
      </c>
      <c r="AN63" s="482">
        <f t="shared" si="88"/>
        <v>1529980564.8723125</v>
      </c>
      <c r="AO63" s="482">
        <f t="shared" si="88"/>
        <v>1530951761.4068029</v>
      </c>
      <c r="AP63" s="482">
        <f t="shared" si="88"/>
        <v>1531922957.9412932</v>
      </c>
      <c r="AQ63" s="482">
        <f t="shared" si="88"/>
        <v>1532894154.4757819</v>
      </c>
      <c r="AR63" s="482">
        <f t="shared" si="88"/>
        <v>1533865351.0102723</v>
      </c>
      <c r="AS63" s="482">
        <f t="shared" si="88"/>
        <v>1534836547.5447626</v>
      </c>
      <c r="AT63" s="482">
        <f>SUM(AT58:AT62)</f>
        <v>1424961260.7852504</v>
      </c>
      <c r="AU63" s="319">
        <f>SUM(AU58:AU62)</f>
        <v>1511627843.3798337</v>
      </c>
      <c r="AV63" s="319">
        <f t="shared" ref="AV63:CL63" si="89">SUM(AV58:AV62)</f>
        <v>1514200012.7813563</v>
      </c>
      <c r="AW63" s="319">
        <f t="shared" si="89"/>
        <v>1497710391.0913258</v>
      </c>
      <c r="AX63" s="319">
        <f t="shared" si="89"/>
        <v>1538165110.6251879</v>
      </c>
      <c r="AY63" s="319">
        <f t="shared" si="89"/>
        <v>1580869328.5088792</v>
      </c>
      <c r="AZ63" s="319">
        <f t="shared" si="89"/>
        <v>1593134759.9113812</v>
      </c>
      <c r="BA63" s="319">
        <f t="shared" si="89"/>
        <v>1600946466.6045799</v>
      </c>
      <c r="BB63" s="319">
        <f t="shared" si="89"/>
        <v>1592230106.1257205</v>
      </c>
      <c r="BC63" s="319">
        <f t="shared" si="89"/>
        <v>1632372734.820632</v>
      </c>
      <c r="BD63" s="319">
        <f t="shared" si="89"/>
        <v>1600128267.7940116</v>
      </c>
      <c r="BE63" s="319">
        <f t="shared" si="89"/>
        <v>1566736078.5586743</v>
      </c>
      <c r="BF63" s="319">
        <f t="shared" si="89"/>
        <v>1561086379.1732597</v>
      </c>
      <c r="BG63" s="319">
        <f t="shared" si="89"/>
        <v>1602957413.6833827</v>
      </c>
      <c r="BH63" s="319">
        <f t="shared" si="89"/>
        <v>1545212230.5898328</v>
      </c>
      <c r="BI63" s="319">
        <f t="shared" si="89"/>
        <v>1489735448.3237739</v>
      </c>
      <c r="BJ63" s="319">
        <f t="shared" si="89"/>
        <v>1480033621.7780838</v>
      </c>
      <c r="BK63" s="319">
        <f t="shared" si="89"/>
        <v>1505809311.8672504</v>
      </c>
      <c r="BL63" s="319">
        <f t="shared" si="89"/>
        <v>1544239147.5085006</v>
      </c>
      <c r="BM63" s="319">
        <f t="shared" si="89"/>
        <v>1504788833.2372506</v>
      </c>
      <c r="BN63" s="319">
        <f t="shared" si="89"/>
        <v>1491119893.6374171</v>
      </c>
      <c r="BO63" s="319">
        <f t="shared" si="89"/>
        <v>1573003884.3146672</v>
      </c>
      <c r="BP63" s="319">
        <f t="shared" si="89"/>
        <v>1564020404.4224172</v>
      </c>
      <c r="BQ63" s="319">
        <f t="shared" si="89"/>
        <v>1613332461.9665837</v>
      </c>
      <c r="BR63" s="319">
        <f t="shared" si="89"/>
        <v>1535153784.5237503</v>
      </c>
      <c r="BS63" s="319">
        <f t="shared" si="89"/>
        <v>1515823110.8499172</v>
      </c>
      <c r="BT63" s="319">
        <f t="shared" si="89"/>
        <v>1390196570.9920838</v>
      </c>
      <c r="BU63" s="319">
        <f t="shared" si="89"/>
        <v>1463278622.2524171</v>
      </c>
      <c r="BV63" s="319">
        <f t="shared" si="89"/>
        <v>1445399430.2209172</v>
      </c>
      <c r="BW63" s="319">
        <f t="shared" si="89"/>
        <v>1343927019.0382504</v>
      </c>
      <c r="BX63" s="319">
        <f t="shared" si="89"/>
        <v>1331857488.3740838</v>
      </c>
      <c r="BY63" s="319">
        <f t="shared" si="89"/>
        <v>1374867293.9872503</v>
      </c>
      <c r="BZ63" s="319">
        <f t="shared" si="89"/>
        <v>1426909772.6408339</v>
      </c>
      <c r="CA63" s="319">
        <f t="shared" si="89"/>
        <v>1444540911.8385005</v>
      </c>
      <c r="CB63" s="319">
        <f t="shared" si="89"/>
        <v>1482190074.004667</v>
      </c>
      <c r="CC63" s="319">
        <f t="shared" si="89"/>
        <v>1515147460.2607503</v>
      </c>
      <c r="CD63" s="319">
        <f t="shared" si="89"/>
        <v>1580921610.3050838</v>
      </c>
      <c r="CE63" s="319">
        <f t="shared" si="89"/>
        <v>1670115607.5991671</v>
      </c>
      <c r="CF63" s="319">
        <f t="shared" si="89"/>
        <v>1602916860.9657507</v>
      </c>
      <c r="CG63" s="319">
        <f t="shared" si="89"/>
        <v>1517220822.3857505</v>
      </c>
      <c r="CH63" s="319">
        <f t="shared" si="89"/>
        <v>1512769739.5605004</v>
      </c>
      <c r="CI63" s="319">
        <f t="shared" si="89"/>
        <v>1552391460.9213338</v>
      </c>
      <c r="CJ63" s="319">
        <f t="shared" si="89"/>
        <v>1613086880.6902504</v>
      </c>
      <c r="CK63" s="319">
        <f t="shared" si="89"/>
        <v>1695291066.2185838</v>
      </c>
      <c r="CL63" s="319">
        <f t="shared" si="89"/>
        <v>1744574069.2312505</v>
      </c>
      <c r="CM63" s="319">
        <f t="shared" si="75"/>
        <v>1524484777.7316465</v>
      </c>
      <c r="CN63" s="58"/>
      <c r="CO63" s="58"/>
      <c r="CP63" s="58"/>
      <c r="CQ63" s="58"/>
      <c r="CR63" s="58"/>
      <c r="CS63" s="58"/>
      <c r="CT63" s="58"/>
      <c r="CU63" s="58"/>
      <c r="CV63" s="58"/>
      <c r="CW63" s="58"/>
      <c r="CX63" s="58"/>
      <c r="CY63" s="58"/>
      <c r="CZ63" s="58"/>
      <c r="DA63" s="58"/>
      <c r="DB63" s="58"/>
      <c r="DC63" s="58"/>
      <c r="DD63" s="58"/>
      <c r="DE63" s="58"/>
      <c r="DF63" s="58"/>
      <c r="DG63" s="58"/>
      <c r="DH63" s="58"/>
      <c r="DI63" s="58"/>
      <c r="DJ63" s="58"/>
      <c r="DK63" s="58"/>
      <c r="DL63" s="58"/>
      <c r="DM63" s="58"/>
      <c r="DN63" s="58"/>
      <c r="DO63" s="58"/>
      <c r="DP63" s="58"/>
      <c r="DQ63" s="58"/>
      <c r="DR63" s="58"/>
      <c r="DS63" s="58"/>
      <c r="DT63" s="58"/>
      <c r="DU63" s="58"/>
      <c r="DV63" s="58"/>
      <c r="DW63" s="58"/>
      <c r="DX63" s="58"/>
      <c r="DY63" s="58"/>
      <c r="DZ63" s="58"/>
      <c r="EA63" s="58"/>
      <c r="EB63" s="58"/>
      <c r="EC63" s="58"/>
      <c r="ED63" s="58"/>
      <c r="EE63" s="58"/>
      <c r="EF63" s="58"/>
      <c r="EG63" s="58"/>
      <c r="EH63" s="58"/>
      <c r="EI63" s="58"/>
      <c r="EJ63" s="58"/>
      <c r="EK63" s="58"/>
      <c r="EL63" s="58"/>
      <c r="EM63" s="58"/>
      <c r="EN63" s="58"/>
      <c r="EO63" s="58"/>
      <c r="EP63" s="58"/>
      <c r="EQ63" s="58"/>
      <c r="ER63" s="58"/>
      <c r="ES63" s="58"/>
      <c r="ET63" s="58"/>
      <c r="EU63" s="58"/>
      <c r="EV63" s="58"/>
      <c r="EW63" s="58"/>
      <c r="EX63" s="58"/>
      <c r="EY63" s="58"/>
      <c r="EZ63" s="58"/>
      <c r="FA63" s="58"/>
      <c r="FB63" s="58"/>
      <c r="FC63" s="58"/>
      <c r="FD63" s="58"/>
      <c r="FE63" s="58"/>
      <c r="FF63" s="58"/>
      <c r="FG63" s="58"/>
      <c r="FH63" s="58"/>
      <c r="FI63" s="58"/>
      <c r="FJ63" s="58"/>
      <c r="FK63" s="58"/>
      <c r="FL63" s="58"/>
      <c r="FM63" s="58"/>
      <c r="FN63" s="58"/>
      <c r="FO63" s="58"/>
      <c r="FP63" s="58"/>
      <c r="FQ63" s="58"/>
      <c r="FR63" s="58"/>
      <c r="FS63" s="58"/>
      <c r="FT63" s="58"/>
      <c r="FU63" s="58"/>
      <c r="FV63" s="58"/>
    </row>
    <row r="64" spans="1:178">
      <c r="A64" s="1055"/>
      <c r="B64" s="1055"/>
      <c r="C64" s="1055"/>
      <c r="D64" s="1055"/>
      <c r="E64" s="1056"/>
      <c r="F64" s="363" t="s">
        <v>191</v>
      </c>
      <c r="G64" s="482">
        <f t="shared" ref="G64:AL64" si="90">(0.101511101973684*G17*0.85*G3/0.685)+(0.20964*G16*0.5/0.82)</f>
        <v>168579112.99525255</v>
      </c>
      <c r="H64" s="482">
        <f t="shared" si="90"/>
        <v>165010438.02964923</v>
      </c>
      <c r="I64" s="482">
        <f t="shared" si="90"/>
        <v>144857920.57683039</v>
      </c>
      <c r="J64" s="482">
        <f t="shared" si="90"/>
        <v>139567884.74546546</v>
      </c>
      <c r="K64" s="482">
        <f t="shared" si="90"/>
        <v>137510648.58882353</v>
      </c>
      <c r="L64" s="482">
        <f t="shared" si="90"/>
        <v>138980102.98642489</v>
      </c>
      <c r="M64" s="482">
        <f t="shared" si="90"/>
        <v>137090804.47522315</v>
      </c>
      <c r="N64" s="482">
        <f t="shared" si="90"/>
        <v>135621350.07762179</v>
      </c>
      <c r="O64" s="482">
        <f t="shared" si="90"/>
        <v>126384779.57841316</v>
      </c>
      <c r="P64" s="482">
        <f t="shared" si="90"/>
        <v>124285559.01041119</v>
      </c>
      <c r="Q64" s="482">
        <f t="shared" si="90"/>
        <v>123026026.66961002</v>
      </c>
      <c r="R64" s="482">
        <f t="shared" si="90"/>
        <v>118407741.42000571</v>
      </c>
      <c r="S64" s="482">
        <f t="shared" si="90"/>
        <v>122312291.67648937</v>
      </c>
      <c r="T64" s="482">
        <f t="shared" si="90"/>
        <v>117484084.37008485</v>
      </c>
      <c r="U64" s="482">
        <f t="shared" si="90"/>
        <v>119457351.70400669</v>
      </c>
      <c r="V64" s="482">
        <f t="shared" si="90"/>
        <v>134109911.26866038</v>
      </c>
      <c r="W64" s="482">
        <f t="shared" si="90"/>
        <v>135873256.545782</v>
      </c>
      <c r="X64" s="482">
        <f t="shared" si="90"/>
        <v>114629144.39760217</v>
      </c>
      <c r="Y64" s="482">
        <f t="shared" si="90"/>
        <v>98381177.201267004</v>
      </c>
      <c r="Z64" s="482">
        <f t="shared" si="90"/>
        <v>103293353.3303916</v>
      </c>
      <c r="AA64" s="482">
        <f t="shared" si="90"/>
        <v>101194132.76238963</v>
      </c>
      <c r="AB64" s="482">
        <f t="shared" si="90"/>
        <v>104552885.67119277</v>
      </c>
      <c r="AC64" s="482">
        <f t="shared" si="90"/>
        <v>97331566.917266026</v>
      </c>
      <c r="AD64" s="482">
        <f t="shared" si="90"/>
        <v>95526237.228784338</v>
      </c>
      <c r="AE64" s="482">
        <f t="shared" si="90"/>
        <v>89648419.638378844</v>
      </c>
      <c r="AF64" s="482">
        <f t="shared" si="90"/>
        <v>100858257.47150932</v>
      </c>
      <c r="AG64" s="482">
        <f t="shared" si="90"/>
        <v>113663502.93632127</v>
      </c>
      <c r="AH64" s="482">
        <f t="shared" si="90"/>
        <v>119667273.76080687</v>
      </c>
      <c r="AI64" s="482">
        <f t="shared" si="90"/>
        <v>128651937.79185526</v>
      </c>
      <c r="AJ64" s="482">
        <f t="shared" si="90"/>
        <v>140617495.02946642</v>
      </c>
      <c r="AK64" s="482">
        <f t="shared" si="90"/>
        <v>146495312.61987191</v>
      </c>
      <c r="AL64" s="482">
        <f t="shared" si="90"/>
        <v>135495396.84354165</v>
      </c>
      <c r="AM64" s="482">
        <f t="shared" ref="AM64:BR64" si="91">(0.101511101973684*AM17*0.85*AM3/0.685)+(0.20964*AM16*0.5/0.82)</f>
        <v>124495481.06721139</v>
      </c>
      <c r="AN64" s="482">
        <f t="shared" si="91"/>
        <v>119079492.00176632</v>
      </c>
      <c r="AO64" s="482">
        <f t="shared" si="91"/>
        <v>108247513.87087622</v>
      </c>
      <c r="AP64" s="482">
        <f t="shared" si="91"/>
        <v>120884821.69024803</v>
      </c>
      <c r="AQ64" s="482">
        <f t="shared" si="91"/>
        <v>158460869.85748309</v>
      </c>
      <c r="AR64" s="482">
        <f t="shared" si="91"/>
        <v>163373045.9866077</v>
      </c>
      <c r="AS64" s="482">
        <f t="shared" si="91"/>
        <v>164590593.91604882</v>
      </c>
      <c r="AT64" s="482">
        <f t="shared" si="91"/>
        <v>164874995.31737638</v>
      </c>
      <c r="AU64" s="319">
        <f t="shared" si="91"/>
        <v>148304810.71184373</v>
      </c>
      <c r="AV64" s="319">
        <f t="shared" si="91"/>
        <v>137059918.90272042</v>
      </c>
      <c r="AW64" s="319">
        <f t="shared" si="91"/>
        <v>136846093.53542891</v>
      </c>
      <c r="AX64" s="319">
        <f t="shared" si="91"/>
        <v>148310090.17686695</v>
      </c>
      <c r="AY64" s="319">
        <f t="shared" si="91"/>
        <v>166706478.39902914</v>
      </c>
      <c r="AZ64" s="319">
        <f t="shared" si="91"/>
        <v>167417317.79478031</v>
      </c>
      <c r="BA64" s="319">
        <f t="shared" si="91"/>
        <v>177130658.88560683</v>
      </c>
      <c r="BB64" s="319">
        <f t="shared" si="91"/>
        <v>190426509.84481636</v>
      </c>
      <c r="BC64" s="319">
        <f t="shared" si="91"/>
        <v>211703668.60387287</v>
      </c>
      <c r="BD64" s="319">
        <f t="shared" si="91"/>
        <v>170398627.75677422</v>
      </c>
      <c r="BE64" s="319">
        <f t="shared" si="91"/>
        <v>138342656.31559461</v>
      </c>
      <c r="BF64" s="319">
        <f t="shared" si="91"/>
        <v>133653304.75758737</v>
      </c>
      <c r="BG64" s="319">
        <f t="shared" si="91"/>
        <v>137618237.38009548</v>
      </c>
      <c r="BH64" s="319">
        <f t="shared" si="91"/>
        <v>149488912.01605332</v>
      </c>
      <c r="BI64" s="319">
        <f t="shared" si="91"/>
        <v>157089433.95125666</v>
      </c>
      <c r="BJ64" s="319">
        <f t="shared" si="91"/>
        <v>160868388.06345609</v>
      </c>
      <c r="BK64" s="319">
        <f t="shared" si="91"/>
        <v>131125891.07832187</v>
      </c>
      <c r="BL64" s="319">
        <f t="shared" si="91"/>
        <v>113318364.80343401</v>
      </c>
      <c r="BM64" s="319">
        <f t="shared" si="91"/>
        <v>115481216.29251724</v>
      </c>
      <c r="BN64" s="319">
        <f t="shared" si="91"/>
        <v>109715524.54664132</v>
      </c>
      <c r="BO64" s="319">
        <f t="shared" si="91"/>
        <v>131020463.47247386</v>
      </c>
      <c r="BP64" s="319">
        <f t="shared" si="91"/>
        <v>134910870.79249942</v>
      </c>
      <c r="BQ64" s="319">
        <f t="shared" si="91"/>
        <v>137569155.07159942</v>
      </c>
      <c r="BR64" s="319">
        <f t="shared" si="91"/>
        <v>176963051.86290419</v>
      </c>
      <c r="BS64" s="319">
        <f t="shared" ref="BS64:CL64" si="92">(0.101511101973684*BS17*0.85*BS3/0.685)+(0.20964*BS16*0.5/0.82)</f>
        <v>158615125.27974117</v>
      </c>
      <c r="BT64" s="319">
        <f t="shared" si="92"/>
        <v>140206708.68442217</v>
      </c>
      <c r="BU64" s="319">
        <f t="shared" si="92"/>
        <v>76982857.115356475</v>
      </c>
      <c r="BV64" s="319">
        <f t="shared" si="92"/>
        <v>112981256.23866235</v>
      </c>
      <c r="BW64" s="319">
        <f t="shared" si="92"/>
        <v>116449515.30008118</v>
      </c>
      <c r="BX64" s="319">
        <f t="shared" si="92"/>
        <v>118568746.19728602</v>
      </c>
      <c r="BY64" s="319">
        <f t="shared" si="92"/>
        <v>119710877.10495324</v>
      </c>
      <c r="BZ64" s="319">
        <f t="shared" si="92"/>
        <v>117821123.89900438</v>
      </c>
      <c r="CA64" s="319">
        <f t="shared" si="92"/>
        <v>121013029.04762106</v>
      </c>
      <c r="CB64" s="319">
        <f t="shared" si="92"/>
        <v>140258061.52579129</v>
      </c>
      <c r="CC64" s="319">
        <f t="shared" si="92"/>
        <v>145463204.32897687</v>
      </c>
      <c r="CD64" s="319">
        <f t="shared" si="92"/>
        <v>176677374.68683216</v>
      </c>
      <c r="CE64" s="319">
        <f t="shared" si="92"/>
        <v>193448758.8518469</v>
      </c>
      <c r="CF64" s="319">
        <f t="shared" si="92"/>
        <v>199948213.17854786</v>
      </c>
      <c r="CG64" s="319">
        <f t="shared" si="92"/>
        <v>183232144.31052572</v>
      </c>
      <c r="CH64" s="319">
        <f t="shared" si="92"/>
        <v>159490882.84377813</v>
      </c>
      <c r="CI64" s="319">
        <f t="shared" si="92"/>
        <v>171350344.90227962</v>
      </c>
      <c r="CJ64" s="319">
        <f t="shared" si="92"/>
        <v>202701277.61291113</v>
      </c>
      <c r="CK64" s="319">
        <f t="shared" si="92"/>
        <v>214792239.84080023</v>
      </c>
      <c r="CL64" s="319">
        <f t="shared" si="92"/>
        <v>214581960.56008801</v>
      </c>
      <c r="CM64" s="319">
        <f t="shared" si="75"/>
        <v>140099232.36372262</v>
      </c>
      <c r="CN64" s="58"/>
      <c r="CO64" s="58"/>
      <c r="CP64" s="58"/>
      <c r="CQ64" s="58"/>
      <c r="CR64" s="58"/>
      <c r="CS64" s="58"/>
      <c r="CT64" s="58"/>
      <c r="CU64" s="58"/>
      <c r="CV64" s="58"/>
      <c r="CW64" s="58"/>
      <c r="CX64" s="58"/>
      <c r="CY64" s="58"/>
      <c r="CZ64" s="58"/>
      <c r="DA64" s="58"/>
      <c r="DB64" s="58"/>
      <c r="DC64" s="58"/>
      <c r="DD64" s="58"/>
      <c r="DE64" s="58"/>
      <c r="DF64" s="58"/>
      <c r="DG64" s="58"/>
      <c r="DH64" s="58"/>
      <c r="DI64" s="58"/>
      <c r="DJ64" s="58"/>
      <c r="DK64" s="58"/>
      <c r="DL64" s="58"/>
      <c r="DM64" s="58"/>
      <c r="DN64" s="58"/>
      <c r="DO64" s="58"/>
      <c r="DP64" s="58"/>
      <c r="DQ64" s="58"/>
      <c r="DR64" s="58"/>
      <c r="DS64" s="58"/>
      <c r="DT64" s="58"/>
      <c r="DU64" s="58"/>
      <c r="DV64" s="58"/>
      <c r="DW64" s="58"/>
      <c r="DX64" s="58"/>
      <c r="DY64" s="58"/>
      <c r="DZ64" s="58"/>
      <c r="EA64" s="58"/>
      <c r="EB64" s="58"/>
      <c r="EC64" s="58"/>
      <c r="ED64" s="58"/>
      <c r="EE64" s="58"/>
      <c r="EF64" s="58"/>
      <c r="EG64" s="58"/>
      <c r="EH64" s="58"/>
      <c r="EI64" s="58"/>
      <c r="EJ64" s="58"/>
      <c r="EK64" s="58"/>
      <c r="EL64" s="58"/>
      <c r="EM64" s="58"/>
      <c r="EN64" s="58"/>
      <c r="EO64" s="58"/>
      <c r="EP64" s="58"/>
      <c r="EQ64" s="58"/>
      <c r="ER64" s="58"/>
      <c r="ES64" s="58"/>
      <c r="ET64" s="58"/>
      <c r="EU64" s="58"/>
      <c r="EV64" s="58"/>
      <c r="EW64" s="58"/>
      <c r="EX64" s="58"/>
      <c r="EY64" s="58"/>
      <c r="EZ64" s="58"/>
      <c r="FA64" s="58"/>
      <c r="FB64" s="58"/>
      <c r="FC64" s="58"/>
      <c r="FD64" s="58"/>
      <c r="FE64" s="58"/>
      <c r="FF64" s="58"/>
      <c r="FG64" s="58"/>
      <c r="FH64" s="58"/>
      <c r="FI64" s="58"/>
      <c r="FJ64" s="58"/>
      <c r="FK64" s="58"/>
      <c r="FL64" s="58"/>
      <c r="FM64" s="58"/>
      <c r="FN64" s="58"/>
      <c r="FO64" s="58"/>
      <c r="FP64" s="58"/>
      <c r="FQ64" s="58"/>
      <c r="FR64" s="58"/>
      <c r="FS64" s="58"/>
      <c r="FT64" s="58"/>
      <c r="FU64" s="58"/>
      <c r="FV64" s="58"/>
    </row>
    <row r="65" spans="1:178">
      <c r="A65" s="1055"/>
      <c r="B65" s="1055"/>
      <c r="C65" s="1055"/>
      <c r="D65" s="1055"/>
      <c r="E65" s="1056"/>
      <c r="F65" s="363" t="s">
        <v>192</v>
      </c>
      <c r="G65" s="482">
        <f t="shared" ref="G65:AL65" si="93">G46+G47+G48+G49+G63+G64</f>
        <v>8834296966.3608532</v>
      </c>
      <c r="H65" s="482">
        <f t="shared" si="93"/>
        <v>8806665791.3952503</v>
      </c>
      <c r="I65" s="482">
        <f t="shared" si="93"/>
        <v>8115196607.2757645</v>
      </c>
      <c r="J65" s="482">
        <f t="shared" si="93"/>
        <v>7930403109.3023987</v>
      </c>
      <c r="K65" s="482">
        <f t="shared" si="93"/>
        <v>7889336584.8665895</v>
      </c>
      <c r="L65" s="482">
        <f t="shared" si="93"/>
        <v>8068681551.8835239</v>
      </c>
      <c r="M65" s="482">
        <f t="shared" si="93"/>
        <v>7978758920.03899</v>
      </c>
      <c r="N65" s="482">
        <f t="shared" si="93"/>
        <v>7907249220.7151337</v>
      </c>
      <c r="O65" s="482">
        <f t="shared" si="93"/>
        <v>7778136741.0948458</v>
      </c>
      <c r="P65" s="482">
        <f t="shared" si="93"/>
        <v>7692448685.3037558</v>
      </c>
      <c r="Q65" s="482">
        <f t="shared" si="93"/>
        <v>7647655895.417367</v>
      </c>
      <c r="R65" s="482">
        <f t="shared" si="93"/>
        <v>7425326852.6221771</v>
      </c>
      <c r="S65" s="482">
        <f t="shared" si="93"/>
        <v>7553606074.619072</v>
      </c>
      <c r="T65" s="482">
        <f t="shared" si="93"/>
        <v>7611511086.3370104</v>
      </c>
      <c r="U65" s="482">
        <f t="shared" si="93"/>
        <v>6809530198.7937593</v>
      </c>
      <c r="V65" s="482">
        <f t="shared" si="93"/>
        <v>7341687938.5201578</v>
      </c>
      <c r="W65" s="482">
        <f t="shared" si="93"/>
        <v>6273402063.665103</v>
      </c>
      <c r="X65" s="482">
        <f t="shared" si="93"/>
        <v>6647260814.7180786</v>
      </c>
      <c r="Y65" s="482">
        <f t="shared" si="93"/>
        <v>6533699877.3895683</v>
      </c>
      <c r="Z65" s="482">
        <f t="shared" si="93"/>
        <v>6917286083.3865166</v>
      </c>
      <c r="AA65" s="482">
        <f t="shared" si="93"/>
        <v>6723584809.3530016</v>
      </c>
      <c r="AB65" s="482">
        <f t="shared" si="93"/>
        <v>7113688675.4629641</v>
      </c>
      <c r="AC65" s="482">
        <f t="shared" si="93"/>
        <v>6428256553.2435255</v>
      </c>
      <c r="AD65" s="482">
        <f t="shared" si="93"/>
        <v>6506799336.7561998</v>
      </c>
      <c r="AE65" s="482">
        <f t="shared" si="93"/>
        <v>5825774402.6377945</v>
      </c>
      <c r="AF65" s="482">
        <f t="shared" si="93"/>
        <v>6777529666.7345695</v>
      </c>
      <c r="AG65" s="482">
        <f t="shared" si="93"/>
        <v>6952462532.8937206</v>
      </c>
      <c r="AH65" s="482">
        <f t="shared" si="93"/>
        <v>8241295659.4261818</v>
      </c>
      <c r="AI65" s="482">
        <f t="shared" si="93"/>
        <v>8331035019.9917192</v>
      </c>
      <c r="AJ65" s="482">
        <f t="shared" si="93"/>
        <v>8333142107.0971546</v>
      </c>
      <c r="AK65" s="482">
        <f t="shared" si="93"/>
        <v>8535866954.5553827</v>
      </c>
      <c r="AL65" s="482">
        <f t="shared" si="93"/>
        <v>7711789651.9802084</v>
      </c>
      <c r="AM65" s="482">
        <f t="shared" ref="AM65:BR65" si="94">AM46+AM47+AM48+AM49+AM63+AM64</f>
        <v>7359165432.738368</v>
      </c>
      <c r="AN65" s="482">
        <f t="shared" si="94"/>
        <v>7417437640.2074118</v>
      </c>
      <c r="AO65" s="482">
        <f t="shared" si="94"/>
        <v>7261436941.9443455</v>
      </c>
      <c r="AP65" s="482">
        <f t="shared" si="94"/>
        <v>6752881279.6315422</v>
      </c>
      <c r="AQ65" s="482">
        <f t="shared" si="94"/>
        <v>9400049190.9999313</v>
      </c>
      <c r="AR65" s="482">
        <f t="shared" si="94"/>
        <v>9032302813.6635475</v>
      </c>
      <c r="AS65" s="482">
        <f t="shared" si="94"/>
        <v>8872580391.4608097</v>
      </c>
      <c r="AT65" s="482">
        <f t="shared" si="94"/>
        <v>8980864721.227581</v>
      </c>
      <c r="AU65" s="319">
        <f t="shared" si="94"/>
        <v>8599569380.7522297</v>
      </c>
      <c r="AV65" s="319">
        <f t="shared" si="94"/>
        <v>8985088218.2058868</v>
      </c>
      <c r="AW65" s="319">
        <f t="shared" si="94"/>
        <v>9117021043.0327682</v>
      </c>
      <c r="AX65" s="319">
        <f t="shared" si="94"/>
        <v>9534419533.3268394</v>
      </c>
      <c r="AY65" s="319">
        <f t="shared" si="94"/>
        <v>10094313868.510904</v>
      </c>
      <c r="AZ65" s="319">
        <f t="shared" si="94"/>
        <v>10555419235.161053</v>
      </c>
      <c r="BA65" s="319">
        <f t="shared" si="94"/>
        <v>10877828885.777197</v>
      </c>
      <c r="BB65" s="319">
        <f t="shared" si="94"/>
        <v>11399149326.729502</v>
      </c>
      <c r="BC65" s="319">
        <f t="shared" si="94"/>
        <v>11060684883.919695</v>
      </c>
      <c r="BD65" s="319">
        <f t="shared" si="94"/>
        <v>8842768254.2859612</v>
      </c>
      <c r="BE65" s="319">
        <f t="shared" si="94"/>
        <v>7837059756.2013559</v>
      </c>
      <c r="BF65" s="319">
        <f t="shared" si="94"/>
        <v>7906856974.679183</v>
      </c>
      <c r="BG65" s="319">
        <f t="shared" si="94"/>
        <v>8443646859.5640144</v>
      </c>
      <c r="BH65" s="319">
        <f t="shared" si="94"/>
        <v>8711082069.8276005</v>
      </c>
      <c r="BI65" s="319">
        <f t="shared" si="94"/>
        <v>9159738545.3791752</v>
      </c>
      <c r="BJ65" s="319">
        <f t="shared" si="94"/>
        <v>9111394731.8775387</v>
      </c>
      <c r="BK65" s="319">
        <f t="shared" si="94"/>
        <v>7969371635.6780605</v>
      </c>
      <c r="BL65" s="319">
        <f t="shared" si="94"/>
        <v>8096142233.971838</v>
      </c>
      <c r="BM65" s="319">
        <f t="shared" si="94"/>
        <v>7856469689.5586672</v>
      </c>
      <c r="BN65" s="319">
        <f t="shared" si="94"/>
        <v>7906276854.0445652</v>
      </c>
      <c r="BO65" s="319">
        <f t="shared" si="94"/>
        <v>8401927129.3800497</v>
      </c>
      <c r="BP65" s="319">
        <f t="shared" si="94"/>
        <v>8436458219.4951324</v>
      </c>
      <c r="BQ65" s="319">
        <f t="shared" si="94"/>
        <v>8903440197.1814499</v>
      </c>
      <c r="BR65" s="319">
        <f t="shared" si="94"/>
        <v>9092290563.1154594</v>
      </c>
      <c r="BS65" s="319">
        <f t="shared" ref="BS65:CM65" si="95">BS46+BS47+BS48+BS49+BS63+BS64</f>
        <v>8418846862.153367</v>
      </c>
      <c r="BT65" s="319">
        <f t="shared" si="95"/>
        <v>6581476510.6035833</v>
      </c>
      <c r="BU65" s="319">
        <f t="shared" si="95"/>
        <v>8343105881.6850281</v>
      </c>
      <c r="BV65" s="319">
        <f t="shared" si="95"/>
        <v>8008453065.9422588</v>
      </c>
      <c r="BW65" s="319">
        <f t="shared" si="95"/>
        <v>8432516520.6522026</v>
      </c>
      <c r="BX65" s="319">
        <f t="shared" si="95"/>
        <v>7010824157.5425529</v>
      </c>
      <c r="BY65" s="319">
        <f t="shared" si="95"/>
        <v>7123489382.277792</v>
      </c>
      <c r="BZ65" s="319">
        <f t="shared" si="95"/>
        <v>7047955221.6743202</v>
      </c>
      <c r="CA65" s="319">
        <f t="shared" si="95"/>
        <v>6375557126.1573124</v>
      </c>
      <c r="CB65" s="319">
        <f t="shared" si="95"/>
        <v>7133663628.7547636</v>
      </c>
      <c r="CC65" s="319">
        <f t="shared" si="95"/>
        <v>7798070845.7181845</v>
      </c>
      <c r="CD65" s="319">
        <f t="shared" si="95"/>
        <v>8657195070.6691513</v>
      </c>
      <c r="CE65" s="319">
        <f t="shared" si="95"/>
        <v>9406612375.2990417</v>
      </c>
      <c r="CF65" s="319">
        <f t="shared" si="95"/>
        <v>9749739909.4358521</v>
      </c>
      <c r="CG65" s="319">
        <f t="shared" si="95"/>
        <v>9248673729.4294243</v>
      </c>
      <c r="CH65" s="319">
        <f t="shared" si="95"/>
        <v>9312256879.0984764</v>
      </c>
      <c r="CI65" s="319">
        <f t="shared" si="95"/>
        <v>9916155186.0414028</v>
      </c>
      <c r="CJ65" s="319">
        <f t="shared" si="95"/>
        <v>10682140010.065447</v>
      </c>
      <c r="CK65" s="319">
        <f t="shared" si="95"/>
        <v>10608314776.444256</v>
      </c>
      <c r="CL65" s="319">
        <f t="shared" si="95"/>
        <v>10819230142.046412</v>
      </c>
      <c r="CM65" s="319">
        <f t="shared" si="95"/>
        <v>8236818812.1078434</v>
      </c>
      <c r="CN65" s="58"/>
      <c r="CO65" s="58"/>
      <c r="CP65" s="58"/>
      <c r="CQ65" s="58"/>
      <c r="CR65" s="58"/>
      <c r="CS65" s="58"/>
      <c r="CT65" s="58"/>
      <c r="CU65" s="58"/>
      <c r="CV65" s="58"/>
      <c r="CW65" s="58"/>
      <c r="CX65" s="58"/>
      <c r="CY65" s="58"/>
      <c r="CZ65" s="58"/>
      <c r="DA65" s="58"/>
      <c r="DB65" s="58"/>
      <c r="DC65" s="58"/>
      <c r="DD65" s="58"/>
      <c r="DE65" s="58"/>
      <c r="DF65" s="58"/>
      <c r="DG65" s="58"/>
      <c r="DH65" s="58"/>
      <c r="DI65" s="58"/>
      <c r="DJ65" s="58"/>
      <c r="DK65" s="58"/>
      <c r="DL65" s="58"/>
      <c r="DM65" s="58"/>
      <c r="DN65" s="58"/>
      <c r="DO65" s="58"/>
      <c r="DP65" s="58"/>
      <c r="DQ65" s="58"/>
      <c r="DR65" s="58"/>
      <c r="DS65" s="58"/>
      <c r="DT65" s="58"/>
      <c r="DU65" s="58"/>
      <c r="DV65" s="58"/>
      <c r="DW65" s="58"/>
      <c r="DX65" s="58"/>
      <c r="DY65" s="58"/>
      <c r="DZ65" s="58"/>
      <c r="EA65" s="58"/>
      <c r="EB65" s="58"/>
      <c r="EC65" s="58"/>
      <c r="ED65" s="58"/>
      <c r="EE65" s="58"/>
      <c r="EF65" s="58"/>
      <c r="EG65" s="58"/>
      <c r="EH65" s="58"/>
      <c r="EI65" s="58"/>
      <c r="EJ65" s="58"/>
      <c r="EK65" s="58"/>
      <c r="EL65" s="58"/>
      <c r="EM65" s="58"/>
      <c r="EN65" s="58"/>
      <c r="EO65" s="58"/>
      <c r="EP65" s="58"/>
      <c r="EQ65" s="58"/>
      <c r="ER65" s="58"/>
      <c r="ES65" s="58"/>
      <c r="ET65" s="58"/>
      <c r="EU65" s="58"/>
      <c r="EV65" s="58"/>
      <c r="EW65" s="58"/>
      <c r="EX65" s="58"/>
      <c r="EY65" s="58"/>
      <c r="EZ65" s="58"/>
      <c r="FA65" s="58"/>
      <c r="FB65" s="58"/>
      <c r="FC65" s="58"/>
      <c r="FD65" s="58"/>
      <c r="FE65" s="58"/>
      <c r="FF65" s="58"/>
      <c r="FG65" s="58"/>
      <c r="FH65" s="58"/>
      <c r="FI65" s="58"/>
      <c r="FJ65" s="58"/>
      <c r="FK65" s="58"/>
      <c r="FL65" s="58"/>
      <c r="FM65" s="58"/>
      <c r="FN65" s="58"/>
      <c r="FO65" s="58"/>
      <c r="FP65" s="58"/>
      <c r="FQ65" s="58"/>
      <c r="FR65" s="58"/>
      <c r="FS65" s="58"/>
      <c r="FT65" s="58"/>
      <c r="FU65" s="58"/>
      <c r="FV65" s="58"/>
    </row>
    <row r="66" spans="1:178" ht="63.75" customHeight="1">
      <c r="A66" s="1055"/>
      <c r="B66" s="1055"/>
      <c r="C66" s="1055"/>
      <c r="D66" s="1055"/>
      <c r="E66" s="1056"/>
      <c r="F66" s="420" t="s">
        <v>193</v>
      </c>
      <c r="G66" s="621">
        <f t="shared" ref="G66:AL66" si="96">G65-G54-G55</f>
        <v>5560562055.3514061</v>
      </c>
      <c r="H66" s="621">
        <f t="shared" si="96"/>
        <v>5569630701.9673185</v>
      </c>
      <c r="I66" s="621">
        <f t="shared" si="96"/>
        <v>4973874751.2826805</v>
      </c>
      <c r="J66" s="621">
        <f t="shared" si="96"/>
        <v>4805039122.0508308</v>
      </c>
      <c r="K66" s="621">
        <f t="shared" si="96"/>
        <v>4799587835.6048689</v>
      </c>
      <c r="L66" s="621">
        <f t="shared" si="96"/>
        <v>4902834258.9766521</v>
      </c>
      <c r="M66" s="621">
        <f t="shared" si="96"/>
        <v>4862529899.4053001</v>
      </c>
      <c r="N66" s="621">
        <f t="shared" si="96"/>
        <v>4758296906.6261702</v>
      </c>
      <c r="O66" s="621">
        <f t="shared" si="96"/>
        <v>4737242177.6700201</v>
      </c>
      <c r="P66" s="621">
        <f t="shared" si="96"/>
        <v>4621735849.4438219</v>
      </c>
      <c r="Q66" s="621">
        <f t="shared" si="96"/>
        <v>4633447077.7491598</v>
      </c>
      <c r="R66" s="621">
        <f t="shared" si="96"/>
        <v>4541223662.7551956</v>
      </c>
      <c r="S66" s="621">
        <f t="shared" si="96"/>
        <v>4628342463.1305094</v>
      </c>
      <c r="T66" s="621">
        <f t="shared" si="96"/>
        <v>4685297332.9631548</v>
      </c>
      <c r="U66" s="621">
        <f t="shared" si="96"/>
        <v>4119378460.8562708</v>
      </c>
      <c r="V66" s="621">
        <f t="shared" si="96"/>
        <v>4495866572.0984621</v>
      </c>
      <c r="W66" s="621">
        <f t="shared" si="96"/>
        <v>3760482879.5598822</v>
      </c>
      <c r="X66" s="621">
        <f t="shared" si="96"/>
        <v>4053049834.2923832</v>
      </c>
      <c r="Y66" s="621">
        <f t="shared" si="96"/>
        <v>3855591391.8295898</v>
      </c>
      <c r="Z66" s="621">
        <f t="shared" si="96"/>
        <v>4190668264.7117052</v>
      </c>
      <c r="AA66" s="621">
        <f t="shared" si="96"/>
        <v>4007433193.1853991</v>
      </c>
      <c r="AB66" s="621">
        <f t="shared" si="96"/>
        <v>4287220383.092854</v>
      </c>
      <c r="AC66" s="621">
        <f t="shared" si="96"/>
        <v>3725857691.297349</v>
      </c>
      <c r="AD66" s="621">
        <f t="shared" si="96"/>
        <v>3830370896.9504566</v>
      </c>
      <c r="AE66" s="621">
        <f t="shared" si="96"/>
        <v>3253961929.5577359</v>
      </c>
      <c r="AF66" s="621">
        <f t="shared" si="96"/>
        <v>4058244432.669219</v>
      </c>
      <c r="AG66" s="621">
        <f t="shared" si="96"/>
        <v>4141638823.8770704</v>
      </c>
      <c r="AH66" s="621">
        <f t="shared" si="96"/>
        <v>5150681138.7557259</v>
      </c>
      <c r="AI66" s="621">
        <f t="shared" si="96"/>
        <v>5113810267.7852535</v>
      </c>
      <c r="AJ66" s="621">
        <f t="shared" si="96"/>
        <v>5173630306.548048</v>
      </c>
      <c r="AK66" s="621">
        <f t="shared" si="96"/>
        <v>5240441836.2200098</v>
      </c>
      <c r="AL66" s="621">
        <f t="shared" si="96"/>
        <v>4594799768.4523363</v>
      </c>
      <c r="AM66" s="621">
        <f t="shared" ref="AM66:BR66" si="97">AM65-AM54-AM55</f>
        <v>4339688175.3506212</v>
      </c>
      <c r="AN66" s="621">
        <f t="shared" si="97"/>
        <v>4367467773.7220078</v>
      </c>
      <c r="AO66" s="621">
        <f t="shared" si="97"/>
        <v>4279946708.7854662</v>
      </c>
      <c r="AP66" s="621">
        <f t="shared" si="97"/>
        <v>3870759039.0313883</v>
      </c>
      <c r="AQ66" s="621">
        <f t="shared" si="97"/>
        <v>6058810423.1784439</v>
      </c>
      <c r="AR66" s="621">
        <f t="shared" si="97"/>
        <v>5838916248.2446032</v>
      </c>
      <c r="AS66" s="621">
        <f t="shared" si="97"/>
        <v>5617238151.7462988</v>
      </c>
      <c r="AT66" s="621">
        <f t="shared" si="97"/>
        <v>5638290077.4337864</v>
      </c>
      <c r="AU66" s="419">
        <f t="shared" si="97"/>
        <v>5213030952.6891508</v>
      </c>
      <c r="AV66" s="419">
        <f t="shared" si="97"/>
        <v>5504008215.3290596</v>
      </c>
      <c r="AW66" s="419">
        <f t="shared" si="97"/>
        <v>5567841133.5748377</v>
      </c>
      <c r="AX66" s="419">
        <f t="shared" si="97"/>
        <v>5841243355.893322</v>
      </c>
      <c r="AY66" s="419">
        <f t="shared" si="97"/>
        <v>5982193643.3370523</v>
      </c>
      <c r="AZ66" s="419">
        <f t="shared" si="97"/>
        <v>6408485958.185173</v>
      </c>
      <c r="BA66" s="419">
        <f t="shared" si="97"/>
        <v>6675762350.9764767</v>
      </c>
      <c r="BB66" s="419">
        <f t="shared" si="97"/>
        <v>6961406445.8784943</v>
      </c>
      <c r="BC66" s="419">
        <f t="shared" si="97"/>
        <v>6647329016.0556726</v>
      </c>
      <c r="BD66" s="419">
        <f t="shared" si="97"/>
        <v>5069579378.3759575</v>
      </c>
      <c r="BE66" s="419">
        <f t="shared" si="97"/>
        <v>4649086689.1170597</v>
      </c>
      <c r="BF66" s="419">
        <f t="shared" si="97"/>
        <v>4859355884.2203312</v>
      </c>
      <c r="BG66" s="419">
        <f t="shared" si="97"/>
        <v>5303909890.0239544</v>
      </c>
      <c r="BH66" s="419">
        <f t="shared" si="97"/>
        <v>5450321407.5738277</v>
      </c>
      <c r="BI66" s="419">
        <f t="shared" si="97"/>
        <v>5826980266.6723204</v>
      </c>
      <c r="BJ66" s="419">
        <f t="shared" si="97"/>
        <v>5810776942.0140924</v>
      </c>
      <c r="BK66" s="419">
        <f t="shared" si="97"/>
        <v>4843166056.0169554</v>
      </c>
      <c r="BL66" s="419">
        <f t="shared" si="97"/>
        <v>4993106595.9683723</v>
      </c>
      <c r="BM66" s="419">
        <f t="shared" si="97"/>
        <v>4695236079.483922</v>
      </c>
      <c r="BN66" s="419">
        <f t="shared" si="97"/>
        <v>4682743246.7268505</v>
      </c>
      <c r="BO66" s="419">
        <f t="shared" si="97"/>
        <v>4972757349.1998024</v>
      </c>
      <c r="BP66" s="419">
        <f t="shared" si="97"/>
        <v>5112825390.3745747</v>
      </c>
      <c r="BQ66" s="419">
        <f t="shared" si="97"/>
        <v>5702099803.3625622</v>
      </c>
      <c r="BR66" s="419">
        <f t="shared" si="97"/>
        <v>5702697270.6289921</v>
      </c>
      <c r="BS66" s="419">
        <f t="shared" ref="BS66:CL66" si="98">BS65-BS54-BS55</f>
        <v>5140418258.8614035</v>
      </c>
      <c r="BT66" s="419">
        <f t="shared" si="98"/>
        <v>3817505713.2742853</v>
      </c>
      <c r="BU66" s="419">
        <f t="shared" si="98"/>
        <v>5713174880.1145372</v>
      </c>
      <c r="BV66" s="419">
        <f t="shared" si="98"/>
        <v>5952602954.2855024</v>
      </c>
      <c r="BW66" s="419">
        <f t="shared" si="98"/>
        <v>6190376817.6648788</v>
      </c>
      <c r="BX66" s="419">
        <f t="shared" si="98"/>
        <v>4785563442.8572216</v>
      </c>
      <c r="BY66" s="419">
        <f t="shared" si="98"/>
        <v>4787049887.7777719</v>
      </c>
      <c r="BZ66" s="419">
        <f t="shared" si="98"/>
        <v>4594490450.3466825</v>
      </c>
      <c r="CA66" s="419">
        <f t="shared" si="98"/>
        <v>3946920450.082118</v>
      </c>
      <c r="CB66" s="419">
        <f t="shared" si="98"/>
        <v>4398572182.9928446</v>
      </c>
      <c r="CC66" s="419">
        <f t="shared" si="98"/>
        <v>4622947452.2739496</v>
      </c>
      <c r="CD66" s="419">
        <f t="shared" si="98"/>
        <v>5278889082.828104</v>
      </c>
      <c r="CE66" s="419">
        <f t="shared" si="98"/>
        <v>6090107753.750865</v>
      </c>
      <c r="CF66" s="419">
        <f t="shared" si="98"/>
        <v>6209335663.3768768</v>
      </c>
      <c r="CG66" s="419">
        <f t="shared" si="98"/>
        <v>5461036778.9181862</v>
      </c>
      <c r="CH66" s="419">
        <f t="shared" si="98"/>
        <v>5548201517.815012</v>
      </c>
      <c r="CI66" s="419">
        <f t="shared" si="98"/>
        <v>5934695802.5565758</v>
      </c>
      <c r="CJ66" s="419">
        <f t="shared" si="98"/>
        <v>6394090314.2268248</v>
      </c>
      <c r="CK66" s="419">
        <f t="shared" si="98"/>
        <v>6014404458.3876801</v>
      </c>
      <c r="CL66" s="419">
        <f t="shared" si="98"/>
        <v>6222979127.3636589</v>
      </c>
      <c r="CM66" s="419">
        <f>AVERAGE(G66:CL66)</f>
        <v>5056228512.8052778</v>
      </c>
      <c r="CN66" s="58"/>
      <c r="CO66" s="58"/>
      <c r="CP66" s="58"/>
      <c r="CQ66" s="58"/>
      <c r="CR66" s="58"/>
      <c r="CS66" s="58"/>
      <c r="CT66" s="58"/>
      <c r="CU66" s="58"/>
      <c r="CV66" s="58"/>
      <c r="CW66" s="58"/>
      <c r="CX66" s="58"/>
      <c r="CY66" s="58"/>
      <c r="CZ66" s="58"/>
      <c r="DA66" s="58"/>
      <c r="DB66" s="58"/>
      <c r="DC66" s="58"/>
      <c r="DD66" s="58"/>
      <c r="DE66" s="58"/>
      <c r="DF66" s="58"/>
      <c r="DG66" s="58"/>
      <c r="DH66" s="58"/>
      <c r="DI66" s="58"/>
      <c r="DJ66" s="58"/>
      <c r="DK66" s="58"/>
      <c r="DL66" s="58"/>
      <c r="DM66" s="58"/>
      <c r="DN66" s="58"/>
      <c r="DO66" s="58"/>
      <c r="DP66" s="58"/>
      <c r="DQ66" s="58"/>
      <c r="DR66" s="58"/>
      <c r="DS66" s="58"/>
      <c r="DT66" s="58"/>
      <c r="DU66" s="58"/>
      <c r="DV66" s="58"/>
      <c r="DW66" s="58"/>
      <c r="DX66" s="58"/>
      <c r="DY66" s="58"/>
      <c r="DZ66" s="58"/>
      <c r="EA66" s="58"/>
      <c r="EB66" s="58"/>
      <c r="EC66" s="58"/>
      <c r="ED66" s="58"/>
      <c r="EE66" s="58"/>
      <c r="EF66" s="58"/>
      <c r="EG66" s="58"/>
      <c r="EH66" s="58"/>
      <c r="EI66" s="58"/>
      <c r="EJ66" s="58"/>
      <c r="EK66" s="58"/>
      <c r="EL66" s="58"/>
      <c r="EM66" s="58"/>
      <c r="EN66" s="58"/>
      <c r="EO66" s="58"/>
      <c r="EP66" s="58"/>
      <c r="EQ66" s="58"/>
      <c r="ER66" s="58"/>
      <c r="ES66" s="58"/>
      <c r="ET66" s="58"/>
      <c r="EU66" s="58"/>
      <c r="EV66" s="58"/>
      <c r="EW66" s="58"/>
      <c r="EX66" s="58"/>
      <c r="EY66" s="58"/>
      <c r="EZ66" s="58"/>
      <c r="FA66" s="58"/>
      <c r="FB66" s="58"/>
      <c r="FC66" s="58"/>
      <c r="FD66" s="58"/>
      <c r="FE66" s="58"/>
      <c r="FF66" s="58"/>
      <c r="FG66" s="58"/>
      <c r="FH66" s="58"/>
      <c r="FI66" s="58"/>
      <c r="FJ66" s="58"/>
      <c r="FK66" s="58"/>
      <c r="FL66" s="58"/>
      <c r="FM66" s="58"/>
      <c r="FN66" s="58"/>
      <c r="FO66" s="58"/>
      <c r="FP66" s="58"/>
      <c r="FQ66" s="58"/>
      <c r="FR66" s="58"/>
      <c r="FS66" s="58"/>
      <c r="FT66" s="58"/>
      <c r="FU66" s="58"/>
      <c r="FV66" s="58"/>
    </row>
    <row r="67" spans="1:178">
      <c r="A67" s="58"/>
      <c r="B67" s="58"/>
      <c r="C67" s="58"/>
      <c r="D67" s="58"/>
      <c r="E67" s="58"/>
      <c r="F67" s="487" t="s">
        <v>347</v>
      </c>
      <c r="G67" s="488">
        <f t="shared" ref="G67:AL67" si="99">G66*G52/G16</f>
        <v>39977.256830117403</v>
      </c>
      <c r="H67" s="488">
        <f t="shared" si="99"/>
        <v>39937.074546688964</v>
      </c>
      <c r="I67" s="488">
        <f t="shared" si="99"/>
        <v>35356.546355387145</v>
      </c>
      <c r="J67" s="488">
        <f t="shared" si="99"/>
        <v>34047.407956816794</v>
      </c>
      <c r="K67" s="488">
        <f t="shared" si="99"/>
        <v>34070.460694127723</v>
      </c>
      <c r="L67" s="488">
        <f t="shared" si="99"/>
        <v>34802.262693749872</v>
      </c>
      <c r="M67" s="488">
        <f t="shared" si="99"/>
        <v>34492.989806288511</v>
      </c>
      <c r="N67" s="488">
        <f t="shared" si="99"/>
        <v>33743.065207579792</v>
      </c>
      <c r="O67" s="488">
        <f t="shared" si="99"/>
        <v>33579.103465199369</v>
      </c>
      <c r="P67" s="488">
        <f t="shared" si="99"/>
        <v>32753.65958159999</v>
      </c>
      <c r="Q67" s="488">
        <f t="shared" si="99"/>
        <v>32823.059898701023</v>
      </c>
      <c r="R67" s="488">
        <f t="shared" si="99"/>
        <v>32181.798129143419</v>
      </c>
      <c r="S67" s="488">
        <f t="shared" si="99"/>
        <v>32881.397131372978</v>
      </c>
      <c r="T67" s="488">
        <f t="shared" si="99"/>
        <v>33150.944745538793</v>
      </c>
      <c r="U67" s="488">
        <f t="shared" si="99"/>
        <v>29509.633029962006</v>
      </c>
      <c r="V67" s="488">
        <f t="shared" si="99"/>
        <v>32390.613198089428</v>
      </c>
      <c r="W67" s="488">
        <f t="shared" si="99"/>
        <v>27717.47180163108</v>
      </c>
      <c r="X67" s="488">
        <f t="shared" si="99"/>
        <v>29090.068830121512</v>
      </c>
      <c r="Y67" s="488">
        <f t="shared" si="99"/>
        <v>26624.565509358905</v>
      </c>
      <c r="Z67" s="488">
        <f t="shared" si="99"/>
        <v>29070.621185258617</v>
      </c>
      <c r="AA67" s="488">
        <f t="shared" si="99"/>
        <v>27778.50538797562</v>
      </c>
      <c r="AB67" s="488">
        <f t="shared" si="99"/>
        <v>29547.863203766665</v>
      </c>
      <c r="AC67" s="488">
        <f t="shared" si="99"/>
        <v>26212.508119307065</v>
      </c>
      <c r="AD67" s="488">
        <f t="shared" si="99"/>
        <v>26770.125203333573</v>
      </c>
      <c r="AE67" s="488">
        <f t="shared" si="99"/>
        <v>22596.360788508362</v>
      </c>
      <c r="AF67" s="488">
        <f t="shared" si="99"/>
        <v>28426.605950634541</v>
      </c>
      <c r="AG67" s="488">
        <f t="shared" si="99"/>
        <v>28961.894112930026</v>
      </c>
      <c r="AH67" s="488">
        <f t="shared" si="99"/>
        <v>35803.552251598587</v>
      </c>
      <c r="AI67" s="488">
        <f t="shared" si="99"/>
        <v>35748.063589308811</v>
      </c>
      <c r="AJ67" s="488">
        <f t="shared" si="99"/>
        <v>36858.853097291416</v>
      </c>
      <c r="AK67" s="488">
        <f t="shared" si="99"/>
        <v>37315.394599917185</v>
      </c>
      <c r="AL67" s="488">
        <f t="shared" si="99"/>
        <v>32614.556412233807</v>
      </c>
      <c r="AM67" s="488">
        <f t="shared" ref="AM67:BR67" si="100">AM66*AM52/AM16</f>
        <v>30830.050044101023</v>
      </c>
      <c r="AN67" s="488">
        <f t="shared" si="100"/>
        <v>31115.425088092874</v>
      </c>
      <c r="AO67" s="488">
        <f t="shared" si="100"/>
        <v>29756.406155043784</v>
      </c>
      <c r="AP67" s="488">
        <f t="shared" si="100"/>
        <v>27454.052035705601</v>
      </c>
      <c r="AQ67" s="488">
        <f t="shared" si="100"/>
        <v>43406.152850230508</v>
      </c>
      <c r="AR67" s="488">
        <f t="shared" si="100"/>
        <v>42136.840901267198</v>
      </c>
      <c r="AS67" s="488">
        <f t="shared" si="100"/>
        <v>40788.874270942833</v>
      </c>
      <c r="AT67" s="488">
        <f t="shared" si="100"/>
        <v>40643.875836349165</v>
      </c>
      <c r="AU67" s="489">
        <f t="shared" si="100"/>
        <v>37834.177688122538</v>
      </c>
      <c r="AV67" s="489">
        <f t="shared" si="100"/>
        <v>40420.979761208364</v>
      </c>
      <c r="AW67" s="489">
        <f t="shared" si="100"/>
        <v>40656.867790920202</v>
      </c>
      <c r="AX67" s="489">
        <f t="shared" si="100"/>
        <v>41338.010644364214</v>
      </c>
      <c r="AY67" s="489">
        <f t="shared" si="100"/>
        <v>43522.923723032538</v>
      </c>
      <c r="AZ67" s="489">
        <f t="shared" si="100"/>
        <v>46959.557169935055</v>
      </c>
      <c r="BA67" s="489">
        <f t="shared" si="100"/>
        <v>48927.440655595085</v>
      </c>
      <c r="BB67" s="489">
        <f t="shared" si="100"/>
        <v>50734.287759933839</v>
      </c>
      <c r="BC67" s="489">
        <f t="shared" si="100"/>
        <v>46478.060311431378</v>
      </c>
      <c r="BD67" s="489">
        <f t="shared" si="100"/>
        <v>35941.749785734479</v>
      </c>
      <c r="BE67" s="489">
        <f t="shared" si="100"/>
        <v>33398.788634617275</v>
      </c>
      <c r="BF67" s="489">
        <f t="shared" si="100"/>
        <v>34939.147081087489</v>
      </c>
      <c r="BG67" s="489">
        <f t="shared" si="100"/>
        <v>37720.758941761545</v>
      </c>
      <c r="BH67" s="489">
        <f t="shared" si="100"/>
        <v>38622.861918683622</v>
      </c>
      <c r="BI67" s="489">
        <f t="shared" si="100"/>
        <v>41221.649205391535</v>
      </c>
      <c r="BJ67" s="489">
        <f t="shared" si="100"/>
        <v>41130.805889248797</v>
      </c>
      <c r="BK67" s="489">
        <f t="shared" si="100"/>
        <v>34874.646986249099</v>
      </c>
      <c r="BL67" s="489">
        <f t="shared" si="100"/>
        <v>35853.660856478498</v>
      </c>
      <c r="BM67" s="489">
        <f t="shared" si="100"/>
        <v>33962.649981909824</v>
      </c>
      <c r="BN67" s="489">
        <f t="shared" si="100"/>
        <v>33636.426672476453</v>
      </c>
      <c r="BO67" s="489">
        <f t="shared" si="100"/>
        <v>35292.132097349328</v>
      </c>
      <c r="BP67" s="489">
        <f t="shared" si="100"/>
        <v>36275.821136567465</v>
      </c>
      <c r="BQ67" s="489">
        <f t="shared" si="100"/>
        <v>40270.239475442926</v>
      </c>
      <c r="BR67" s="489">
        <f t="shared" si="100"/>
        <v>40372.806640545336</v>
      </c>
      <c r="BS67" s="489">
        <f t="shared" ref="BS67:CL67" si="101">BS66*BS52/BS16</f>
        <v>36745.015658535391</v>
      </c>
      <c r="BT67" s="489">
        <f t="shared" si="101"/>
        <v>28175.321057972589</v>
      </c>
      <c r="BU67" s="489">
        <f t="shared" si="101"/>
        <v>39884.200607057108</v>
      </c>
      <c r="BV67" s="489">
        <f t="shared" si="101"/>
        <v>41967.236515229975</v>
      </c>
      <c r="BW67" s="489">
        <f t="shared" si="101"/>
        <v>43407.031926774078</v>
      </c>
      <c r="BX67" s="489">
        <f t="shared" si="101"/>
        <v>34305.660499919046</v>
      </c>
      <c r="BY67" s="489">
        <f t="shared" si="101"/>
        <v>34345.925606362769</v>
      </c>
      <c r="BZ67" s="489">
        <f t="shared" si="101"/>
        <v>33168.831508600568</v>
      </c>
      <c r="CA67" s="489">
        <f t="shared" si="101"/>
        <v>28536.203784714809</v>
      </c>
      <c r="CB67" s="489">
        <f t="shared" si="101"/>
        <v>31261.443748075118</v>
      </c>
      <c r="CC67" s="489">
        <f t="shared" si="101"/>
        <v>32687.249348988917</v>
      </c>
      <c r="CD67" s="489">
        <f t="shared" si="101"/>
        <v>36882.637824503567</v>
      </c>
      <c r="CE67" s="489">
        <f t="shared" si="101"/>
        <v>42357.986511519986</v>
      </c>
      <c r="CF67" s="489">
        <f t="shared" si="101"/>
        <v>43035.833263372355</v>
      </c>
      <c r="CG67" s="489">
        <f t="shared" si="101"/>
        <v>37912.305571902718</v>
      </c>
      <c r="CH67" s="489">
        <f t="shared" si="101"/>
        <v>38434.258543239739</v>
      </c>
      <c r="CI67" s="489">
        <f t="shared" si="101"/>
        <v>40897.066032707466</v>
      </c>
      <c r="CJ67" s="489">
        <f t="shared" si="101"/>
        <v>43925.294493191388</v>
      </c>
      <c r="CK67" s="489">
        <f t="shared" si="101"/>
        <v>41320.452439494096</v>
      </c>
      <c r="CL67" s="489">
        <f t="shared" si="101"/>
        <v>42701.522098726266</v>
      </c>
      <c r="CM67" s="489">
        <f>AVERAGE(G67:CL67)</f>
        <v>35896.474861241048</v>
      </c>
      <c r="CN67" s="58"/>
      <c r="CO67" s="58"/>
      <c r="CP67" s="58"/>
      <c r="CQ67" s="58"/>
      <c r="CR67" s="58"/>
      <c r="CS67" s="58"/>
      <c r="CT67" s="58"/>
      <c r="CU67" s="58"/>
      <c r="CV67" s="58"/>
      <c r="CW67" s="58"/>
      <c r="CX67" s="58"/>
      <c r="CY67" s="58"/>
      <c r="CZ67" s="58"/>
      <c r="DA67" s="58"/>
      <c r="DB67" s="58"/>
      <c r="DC67" s="58"/>
      <c r="DD67" s="58"/>
      <c r="DE67" s="58"/>
      <c r="DF67" s="58"/>
      <c r="DG67" s="58"/>
      <c r="DH67" s="58"/>
      <c r="DI67" s="58"/>
      <c r="DJ67" s="58"/>
      <c r="DK67" s="58"/>
      <c r="DL67" s="58"/>
      <c r="DM67" s="58"/>
      <c r="DN67" s="58"/>
      <c r="DO67" s="58"/>
      <c r="DP67" s="58"/>
      <c r="DQ67" s="58"/>
      <c r="DR67" s="58"/>
      <c r="DS67" s="58"/>
      <c r="DT67" s="58"/>
      <c r="DU67" s="58"/>
      <c r="DV67" s="58"/>
      <c r="DW67" s="58"/>
      <c r="DX67" s="58"/>
      <c r="DY67" s="58"/>
      <c r="DZ67" s="58"/>
      <c r="EA67" s="58"/>
      <c r="EB67" s="58"/>
      <c r="EC67" s="58"/>
      <c r="ED67" s="58"/>
      <c r="EE67" s="58"/>
      <c r="EF67" s="58"/>
      <c r="EG67" s="58"/>
      <c r="EH67" s="58"/>
      <c r="EI67" s="58"/>
      <c r="EJ67" s="58"/>
      <c r="EK67" s="58"/>
      <c r="EL67" s="58"/>
      <c r="EM67" s="58"/>
      <c r="EN67" s="58"/>
      <c r="EO67" s="58"/>
      <c r="EP67" s="58"/>
      <c r="EQ67" s="58"/>
      <c r="ER67" s="58"/>
      <c r="ES67" s="58"/>
      <c r="ET67" s="58"/>
      <c r="EU67" s="58"/>
      <c r="EV67" s="58"/>
      <c r="EW67" s="58"/>
      <c r="EX67" s="58"/>
      <c r="EY67" s="58"/>
      <c r="EZ67" s="58"/>
      <c r="FA67" s="58"/>
      <c r="FB67" s="58"/>
      <c r="FC67" s="58"/>
      <c r="FD67" s="58"/>
      <c r="FE67" s="58"/>
      <c r="FF67" s="58"/>
      <c r="FG67" s="58"/>
      <c r="FH67" s="58"/>
      <c r="FI67" s="58"/>
      <c r="FJ67" s="58"/>
      <c r="FK67" s="58"/>
      <c r="FL67" s="58"/>
      <c r="FM67" s="58"/>
      <c r="FN67" s="58"/>
      <c r="FO67" s="58"/>
      <c r="FP67" s="58"/>
      <c r="FQ67" s="58"/>
      <c r="FR67" s="58"/>
      <c r="FS67" s="58"/>
      <c r="FT67" s="58"/>
      <c r="FU67" s="58"/>
      <c r="FV67" s="58"/>
    </row>
    <row r="68" spans="1:178">
      <c r="A68" s="58"/>
      <c r="B68" s="58"/>
      <c r="C68" s="58"/>
      <c r="D68" s="58"/>
      <c r="E68" s="58"/>
      <c r="F68" s="487" t="s">
        <v>348</v>
      </c>
      <c r="G68" s="488">
        <f t="shared" ref="G68:AL68" si="102">G53*G66/G17</f>
        <v>57036.596129804224</v>
      </c>
      <c r="H68" s="488">
        <f t="shared" si="102"/>
        <v>57419.03179315044</v>
      </c>
      <c r="I68" s="488">
        <f t="shared" si="102"/>
        <v>52124.888217591411</v>
      </c>
      <c r="J68" s="488">
        <f t="shared" si="102"/>
        <v>50654.832228130632</v>
      </c>
      <c r="K68" s="488">
        <f t="shared" si="102"/>
        <v>50427.969769182557</v>
      </c>
      <c r="L68" s="488">
        <f t="shared" si="102"/>
        <v>51515.78770036855</v>
      </c>
      <c r="M68" s="488">
        <f t="shared" si="102"/>
        <v>51155.94739692939</v>
      </c>
      <c r="N68" s="488">
        <f t="shared" si="102"/>
        <v>50088.301724989025</v>
      </c>
      <c r="O68" s="488">
        <f t="shared" si="102"/>
        <v>49906.913890098476</v>
      </c>
      <c r="P68" s="488">
        <f t="shared" si="102"/>
        <v>48708.447515377949</v>
      </c>
      <c r="Q68" s="488">
        <f t="shared" si="102"/>
        <v>48869.211005984951</v>
      </c>
      <c r="R68" s="488">
        <f t="shared" si="102"/>
        <v>47863.450164117719</v>
      </c>
      <c r="S68" s="488">
        <f t="shared" si="102"/>
        <v>48555.844815028206</v>
      </c>
      <c r="T68" s="488">
        <f t="shared" si="102"/>
        <v>49524.338627711702</v>
      </c>
      <c r="U68" s="488">
        <f t="shared" si="102"/>
        <v>42545.928284253539</v>
      </c>
      <c r="V68" s="488">
        <f t="shared" si="102"/>
        <v>45929.149649914369</v>
      </c>
      <c r="W68" s="488">
        <f t="shared" si="102"/>
        <v>36700.210777760549</v>
      </c>
      <c r="X68" s="488">
        <f t="shared" si="102"/>
        <v>41708.203374465629</v>
      </c>
      <c r="Y68" s="488">
        <f t="shared" si="102"/>
        <v>42555.217208514623</v>
      </c>
      <c r="Z68" s="488">
        <f t="shared" si="102"/>
        <v>45890.4765936681</v>
      </c>
      <c r="AA68" s="488">
        <f t="shared" si="102"/>
        <v>43941.654385816983</v>
      </c>
      <c r="AB68" s="488">
        <f t="shared" si="102"/>
        <v>47476.56900185682</v>
      </c>
      <c r="AC68" s="488">
        <f t="shared" si="102"/>
        <v>39794.580847945974</v>
      </c>
      <c r="AD68" s="488">
        <f t="shared" si="102"/>
        <v>41398.783236991891</v>
      </c>
      <c r="AE68" s="488">
        <f t="shared" si="102"/>
        <v>35567.964395679803</v>
      </c>
      <c r="AF68" s="488">
        <f t="shared" si="102"/>
        <v>43686.174846706264</v>
      </c>
      <c r="AG68" s="488">
        <f t="shared" si="102"/>
        <v>44718.08900741204</v>
      </c>
      <c r="AH68" s="488">
        <f t="shared" si="102"/>
        <v>56201.829195327664</v>
      </c>
      <c r="AI68" s="488">
        <f t="shared" si="102"/>
        <v>55248.013107170504</v>
      </c>
      <c r="AJ68" s="488">
        <f t="shared" si="102"/>
        <v>53992.097699314603</v>
      </c>
      <c r="AK68" s="488">
        <f t="shared" si="102"/>
        <v>54742.757027949796</v>
      </c>
      <c r="AL68" s="488">
        <f t="shared" si="102"/>
        <v>48282.334773311901</v>
      </c>
      <c r="AM68" s="488">
        <f t="shared" ref="AM68:BR68" si="103">AM53*AM66/AM17</f>
        <v>45529.347281705639</v>
      </c>
      <c r="AN68" s="488">
        <f t="shared" si="103"/>
        <v>45579.04914905296</v>
      </c>
      <c r="AO68" s="488">
        <f t="shared" si="103"/>
        <v>46685.60401103746</v>
      </c>
      <c r="AP68" s="488">
        <f t="shared" si="103"/>
        <v>40732.194736393038</v>
      </c>
      <c r="AQ68" s="488">
        <f t="shared" si="103"/>
        <v>62568.113500384083</v>
      </c>
      <c r="AR68" s="488">
        <f t="shared" si="103"/>
        <v>59456.807645874062</v>
      </c>
      <c r="AS68" s="488">
        <f t="shared" si="103"/>
        <v>56507.995851071326</v>
      </c>
      <c r="AT68" s="488">
        <f t="shared" si="103"/>
        <v>57537.82193477251</v>
      </c>
      <c r="AU68" s="489">
        <f t="shared" si="103"/>
        <v>52495.592837457421</v>
      </c>
      <c r="AV68" s="489">
        <f t="shared" si="103"/>
        <v>54121.221455744599</v>
      </c>
      <c r="AW68" s="489">
        <f t="shared" si="103"/>
        <v>55388.514240082834</v>
      </c>
      <c r="AX68" s="489">
        <f t="shared" si="103"/>
        <v>61720.518334387831</v>
      </c>
      <c r="AY68" s="489">
        <f t="shared" si="103"/>
        <v>59948.740400542731</v>
      </c>
      <c r="AZ68" s="489">
        <f t="shared" si="103"/>
        <v>63300.164346734782</v>
      </c>
      <c r="BA68" s="489">
        <f t="shared" si="103"/>
        <v>65914.499774398559</v>
      </c>
      <c r="BB68" s="489">
        <f t="shared" si="103"/>
        <v>69522.174850332289</v>
      </c>
      <c r="BC68" s="489">
        <f t="shared" si="103"/>
        <v>71788.367333475093</v>
      </c>
      <c r="BD68" s="489">
        <f t="shared" si="103"/>
        <v>53389.050812250272</v>
      </c>
      <c r="BE68" s="489">
        <f t="shared" si="103"/>
        <v>47757.264089648415</v>
      </c>
      <c r="BF68" s="489">
        <f t="shared" si="103"/>
        <v>49835.401946350466</v>
      </c>
      <c r="BG68" s="489">
        <f t="shared" si="103"/>
        <v>55533.656538066978</v>
      </c>
      <c r="BH68" s="489">
        <f t="shared" si="103"/>
        <v>57448.81305865325</v>
      </c>
      <c r="BI68" s="489">
        <f t="shared" si="103"/>
        <v>61612.166406033961</v>
      </c>
      <c r="BJ68" s="489">
        <f t="shared" si="103"/>
        <v>61375.520561557059</v>
      </c>
      <c r="BK68" s="489">
        <f t="shared" si="103"/>
        <v>49526.812503983871</v>
      </c>
      <c r="BL68" s="489">
        <f t="shared" si="103"/>
        <v>51336.621023088075</v>
      </c>
      <c r="BM68" s="489">
        <f t="shared" si="103"/>
        <v>47593.271565813891</v>
      </c>
      <c r="BN68" s="489">
        <f t="shared" si="103"/>
        <v>48114.391963914764</v>
      </c>
      <c r="BO68" s="489">
        <f t="shared" si="103"/>
        <v>52268.269733785797</v>
      </c>
      <c r="BP68" s="489">
        <f t="shared" si="103"/>
        <v>53769.041279620054</v>
      </c>
      <c r="BQ68" s="489">
        <f t="shared" si="103"/>
        <v>60478.405089784144</v>
      </c>
      <c r="BR68" s="489">
        <f t="shared" si="103"/>
        <v>60214.641940915739</v>
      </c>
      <c r="BS68" s="489">
        <f t="shared" ref="BS68:CL68" si="104">BS53*BS66/BS17</f>
        <v>53308.30251245213</v>
      </c>
      <c r="BT68" s="489">
        <f t="shared" si="104"/>
        <v>37153.595611521545</v>
      </c>
      <c r="BU68" s="489">
        <f t="shared" si="104"/>
        <v>61870.892118259922</v>
      </c>
      <c r="BV68" s="489">
        <f t="shared" si="104"/>
        <v>63333.46290107094</v>
      </c>
      <c r="BW68" s="489">
        <f t="shared" si="104"/>
        <v>66512.987102470244</v>
      </c>
      <c r="BX68" s="489">
        <f t="shared" si="104"/>
        <v>49361.258156713186</v>
      </c>
      <c r="BY68" s="489">
        <f t="shared" si="104"/>
        <v>49295.271526644363</v>
      </c>
      <c r="BZ68" s="489">
        <f t="shared" si="104"/>
        <v>46750.803952565722</v>
      </c>
      <c r="CA68" s="489">
        <f t="shared" si="104"/>
        <v>40045.207464534178</v>
      </c>
      <c r="CB68" s="489">
        <f t="shared" si="104"/>
        <v>46111.228547056155</v>
      </c>
      <c r="CC68" s="489">
        <f t="shared" si="104"/>
        <v>48927.186126218308</v>
      </c>
      <c r="CD68" s="489">
        <f t="shared" si="104"/>
        <v>57084.775915330676</v>
      </c>
      <c r="CE68" s="489">
        <f t="shared" si="104"/>
        <v>66385.767936847828</v>
      </c>
      <c r="CF68" s="489">
        <f t="shared" si="104"/>
        <v>68101.248082870923</v>
      </c>
      <c r="CG68" s="489">
        <f t="shared" si="104"/>
        <v>59721.75674538155</v>
      </c>
      <c r="CH68" s="489">
        <f t="shared" si="104"/>
        <v>60903.413335469115</v>
      </c>
      <c r="CI68" s="489">
        <f t="shared" si="104"/>
        <v>65735.303912120246</v>
      </c>
      <c r="CJ68" s="489">
        <f t="shared" si="104"/>
        <v>71201.503934759981</v>
      </c>
      <c r="CK68" s="489">
        <f t="shared" si="104"/>
        <v>66963.962570795542</v>
      </c>
      <c r="CL68" s="489">
        <f t="shared" si="104"/>
        <v>69428.728526079605</v>
      </c>
      <c r="CM68" s="489">
        <f>AVERAGE(G68:CL68)</f>
        <v>53112.836994864323</v>
      </c>
      <c r="CN68" s="58"/>
      <c r="CO68" s="58"/>
      <c r="CP68" s="58"/>
      <c r="CQ68" s="58"/>
      <c r="CR68" s="58"/>
      <c r="CS68" s="58"/>
      <c r="CT68" s="58"/>
      <c r="CU68" s="58"/>
      <c r="CV68" s="58"/>
      <c r="CW68" s="58"/>
      <c r="CX68" s="58"/>
      <c r="CY68" s="58"/>
      <c r="CZ68" s="58"/>
      <c r="DA68" s="58"/>
      <c r="DB68" s="58"/>
      <c r="DC68" s="58"/>
      <c r="DD68" s="58"/>
      <c r="DE68" s="58"/>
      <c r="DF68" s="58"/>
      <c r="DG68" s="58"/>
      <c r="DH68" s="58"/>
      <c r="DI68" s="58"/>
      <c r="DJ68" s="58"/>
      <c r="DK68" s="58"/>
      <c r="DL68" s="58"/>
      <c r="DM68" s="58"/>
      <c r="DN68" s="58"/>
      <c r="DO68" s="58"/>
      <c r="DP68" s="58"/>
      <c r="DQ68" s="58"/>
      <c r="DR68" s="58"/>
      <c r="DS68" s="58"/>
      <c r="DT68" s="58"/>
      <c r="DU68" s="58"/>
      <c r="DV68" s="58"/>
      <c r="DW68" s="58"/>
      <c r="DX68" s="58"/>
      <c r="DY68" s="58"/>
      <c r="DZ68" s="58"/>
      <c r="EA68" s="58"/>
      <c r="EB68" s="58"/>
      <c r="EC68" s="58"/>
      <c r="ED68" s="58"/>
      <c r="EE68" s="58"/>
      <c r="EF68" s="58"/>
      <c r="EG68" s="58"/>
      <c r="EH68" s="58"/>
      <c r="EI68" s="58"/>
      <c r="EJ68" s="58"/>
      <c r="EK68" s="58"/>
      <c r="EL68" s="58"/>
      <c r="EM68" s="58"/>
      <c r="EN68" s="58"/>
      <c r="EO68" s="58"/>
      <c r="EP68" s="58"/>
      <c r="EQ68" s="58"/>
      <c r="ER68" s="58"/>
      <c r="ES68" s="58"/>
      <c r="ET68" s="58"/>
      <c r="EU68" s="58"/>
      <c r="EV68" s="58"/>
      <c r="EW68" s="58"/>
      <c r="EX68" s="58"/>
      <c r="EY68" s="58"/>
      <c r="EZ68" s="58"/>
      <c r="FA68" s="58"/>
      <c r="FB68" s="58"/>
      <c r="FC68" s="58"/>
      <c r="FD68" s="58"/>
      <c r="FE68" s="58"/>
      <c r="FF68" s="58"/>
      <c r="FG68" s="58"/>
      <c r="FH68" s="58"/>
      <c r="FI68" s="58"/>
      <c r="FJ68" s="58"/>
      <c r="FK68" s="58"/>
      <c r="FL68" s="58"/>
      <c r="FM68" s="58"/>
      <c r="FN68" s="58"/>
      <c r="FO68" s="58"/>
      <c r="FP68" s="58"/>
      <c r="FQ68" s="58"/>
      <c r="FR68" s="58"/>
      <c r="FS68" s="58"/>
      <c r="FT68" s="58"/>
      <c r="FU68" s="58"/>
      <c r="FV68" s="58"/>
    </row>
    <row r="69" spans="1:178">
      <c r="F69" s="315"/>
      <c r="G69" s="315"/>
      <c r="H69" s="315"/>
      <c r="I69" s="315"/>
      <c r="J69" s="315"/>
      <c r="K69" s="315"/>
      <c r="L69" s="315"/>
      <c r="M69" s="315"/>
      <c r="N69" s="315"/>
      <c r="O69" s="315"/>
      <c r="P69" s="315"/>
      <c r="Q69" s="315"/>
      <c r="R69" s="315"/>
      <c r="S69" s="316"/>
      <c r="T69" s="316"/>
      <c r="U69" s="316"/>
      <c r="V69" s="316"/>
      <c r="W69" s="316"/>
      <c r="X69" s="316"/>
      <c r="Y69" s="316"/>
      <c r="Z69" s="316"/>
      <c r="AA69" s="316"/>
      <c r="AB69" s="316"/>
      <c r="AC69" s="316"/>
      <c r="AD69" s="316"/>
      <c r="AE69" s="316"/>
      <c r="AF69" s="316"/>
      <c r="AG69" s="316"/>
      <c r="AH69" s="316"/>
      <c r="AI69" s="316"/>
      <c r="AJ69" s="316"/>
      <c r="AK69" s="316"/>
      <c r="AL69" s="316"/>
      <c r="AM69" s="316"/>
      <c r="AN69" s="316"/>
      <c r="AO69" s="316"/>
      <c r="AP69" s="316"/>
      <c r="AQ69" s="316"/>
      <c r="AR69" s="316"/>
      <c r="AS69" s="316"/>
      <c r="AT69" s="317"/>
      <c r="AU69" s="318"/>
      <c r="AV69" s="318"/>
      <c r="AW69" s="318"/>
      <c r="AX69" s="318"/>
      <c r="AY69" s="318"/>
      <c r="AZ69" s="318"/>
      <c r="BA69" s="318"/>
      <c r="BB69" s="318"/>
      <c r="BC69" s="318"/>
      <c r="BD69" s="318"/>
      <c r="BE69" s="318"/>
      <c r="BF69" s="318"/>
      <c r="BG69" s="318"/>
      <c r="BH69" s="318"/>
      <c r="BI69" s="318"/>
      <c r="BJ69" s="318"/>
      <c r="BK69" s="318"/>
      <c r="BL69" s="318"/>
      <c r="BM69" s="318"/>
      <c r="BN69" s="318"/>
      <c r="BO69" s="318"/>
      <c r="BP69" s="318"/>
      <c r="BQ69" s="318"/>
      <c r="BR69" s="318"/>
      <c r="BS69" s="318"/>
      <c r="BT69" s="318"/>
      <c r="BU69" s="318"/>
      <c r="BV69" s="318"/>
      <c r="BW69" s="318"/>
      <c r="BX69" s="318"/>
      <c r="BY69" s="318"/>
      <c r="BZ69" s="318"/>
      <c r="CA69" s="318"/>
      <c r="CB69" s="318"/>
      <c r="CC69" s="318"/>
      <c r="CD69" s="318"/>
      <c r="CE69" s="318"/>
      <c r="CF69" s="318"/>
      <c r="CG69" s="318"/>
      <c r="CH69" s="318"/>
      <c r="CI69" s="318"/>
      <c r="CJ69" s="318"/>
      <c r="CK69" s="318"/>
      <c r="CL69" s="318"/>
      <c r="CM69" s="319"/>
    </row>
    <row r="70" spans="1:178">
      <c r="F70" s="320" t="s">
        <v>408</v>
      </c>
      <c r="G70" s="320"/>
      <c r="H70" s="320"/>
      <c r="I70" s="320"/>
      <c r="J70" s="320"/>
      <c r="K70" s="320"/>
      <c r="L70" s="320"/>
      <c r="M70" s="320"/>
      <c r="N70" s="320"/>
      <c r="O70" s="320"/>
      <c r="P70" s="320"/>
      <c r="Q70" s="320"/>
      <c r="R70" s="320"/>
      <c r="S70" s="321">
        <v>79308</v>
      </c>
      <c r="T70" s="321">
        <v>87844.5</v>
      </c>
      <c r="U70" s="321">
        <v>84301.2</v>
      </c>
      <c r="V70" s="321">
        <v>71658</v>
      </c>
      <c r="W70" s="321">
        <v>73467</v>
      </c>
      <c r="X70" s="321">
        <v>79317</v>
      </c>
      <c r="Y70" s="321">
        <v>83124</v>
      </c>
      <c r="Z70" s="321">
        <v>80424</v>
      </c>
      <c r="AA70" s="321">
        <v>78174</v>
      </c>
      <c r="AB70" s="321">
        <v>79992</v>
      </c>
      <c r="AC70" s="321">
        <v>80892</v>
      </c>
      <c r="AD70" s="321">
        <v>80892</v>
      </c>
      <c r="AE70" s="321">
        <v>79920</v>
      </c>
      <c r="AF70" s="321">
        <v>79920</v>
      </c>
      <c r="AG70" s="321">
        <v>79020</v>
      </c>
      <c r="AH70" s="321">
        <v>80838</v>
      </c>
      <c r="AI70" s="321">
        <v>80838</v>
      </c>
      <c r="AJ70" s="321">
        <v>81738</v>
      </c>
      <c r="AK70" s="321">
        <v>80838</v>
      </c>
      <c r="AL70" s="321">
        <v>80838</v>
      </c>
      <c r="AM70" s="321">
        <v>80838</v>
      </c>
      <c r="AN70" s="321">
        <v>80478</v>
      </c>
      <c r="AO70" s="321">
        <v>73638</v>
      </c>
      <c r="AP70" s="321">
        <v>73638</v>
      </c>
      <c r="AQ70" s="321">
        <v>73638</v>
      </c>
      <c r="AR70" s="321">
        <v>75069</v>
      </c>
      <c r="AS70" s="321">
        <v>74097</v>
      </c>
      <c r="AT70" s="322">
        <v>77120</v>
      </c>
      <c r="AU70" s="323">
        <v>78330</v>
      </c>
      <c r="AV70" s="323">
        <v>78330</v>
      </c>
      <c r="AW70" s="323">
        <v>79710</v>
      </c>
      <c r="AX70" s="323">
        <v>81840</v>
      </c>
      <c r="AY70" s="323">
        <v>82290</v>
      </c>
      <c r="AZ70" s="323">
        <v>81605</v>
      </c>
      <c r="BA70" s="323">
        <v>80450</v>
      </c>
      <c r="BB70" s="323">
        <v>82290</v>
      </c>
      <c r="BC70" s="323">
        <v>84860</v>
      </c>
      <c r="BD70" s="323">
        <v>82790</v>
      </c>
      <c r="BE70" s="323">
        <v>75410</v>
      </c>
      <c r="BF70" s="323">
        <v>75535</v>
      </c>
      <c r="BG70" s="323">
        <v>75515</v>
      </c>
      <c r="BH70" s="323">
        <v>76895</v>
      </c>
      <c r="BI70" s="323">
        <v>76895</v>
      </c>
      <c r="BJ70" s="323">
        <v>73118.75</v>
      </c>
      <c r="BK70" s="323">
        <v>69505.666666666672</v>
      </c>
      <c r="BL70" s="323">
        <v>68825</v>
      </c>
      <c r="BM70" s="323">
        <v>69518</v>
      </c>
      <c r="BN70" s="323">
        <v>66726.666666666672</v>
      </c>
      <c r="BO70" s="323">
        <v>68260</v>
      </c>
      <c r="BP70" s="323">
        <v>65340</v>
      </c>
      <c r="BQ70" s="323">
        <v>64110</v>
      </c>
      <c r="BR70" s="323">
        <v>65725</v>
      </c>
      <c r="BS70" s="323">
        <v>66420</v>
      </c>
      <c r="BT70" s="323">
        <v>66430</v>
      </c>
      <c r="BU70" s="323">
        <v>62745</v>
      </c>
      <c r="BV70" s="323">
        <v>59985</v>
      </c>
      <c r="BW70" s="323">
        <v>63743.333333333336</v>
      </c>
      <c r="BX70" s="323">
        <v>67265</v>
      </c>
      <c r="BY70" s="323">
        <v>67680</v>
      </c>
      <c r="BZ70" s="323">
        <v>68533.333333333328</v>
      </c>
      <c r="CA70" s="323">
        <v>71170</v>
      </c>
      <c r="CB70" s="323">
        <v>74566.666666666672</v>
      </c>
      <c r="CC70" s="323">
        <v>80425</v>
      </c>
      <c r="CD70" s="323">
        <v>79965</v>
      </c>
      <c r="CE70" s="323">
        <v>83513.333333333328</v>
      </c>
      <c r="CF70" s="323">
        <v>94750</v>
      </c>
      <c r="CG70" s="323">
        <v>97356.666666666672</v>
      </c>
      <c r="CH70" s="323">
        <v>88703.333333333328</v>
      </c>
      <c r="CI70" s="323">
        <v>85010</v>
      </c>
      <c r="CJ70" s="323">
        <v>87430</v>
      </c>
      <c r="CK70" s="323">
        <v>92103.333333333328</v>
      </c>
      <c r="CL70" s="323">
        <v>94270</v>
      </c>
      <c r="CM70" s="324">
        <f>AVERAGE(S70:CL70)</f>
        <v>77330.538657407393</v>
      </c>
    </row>
    <row r="71" spans="1:178">
      <c r="F71" s="325" t="s">
        <v>409</v>
      </c>
      <c r="G71" s="325"/>
      <c r="H71" s="325"/>
      <c r="I71" s="325"/>
      <c r="J71" s="325"/>
      <c r="K71" s="325"/>
      <c r="L71" s="325"/>
      <c r="M71" s="325"/>
      <c r="N71" s="325"/>
      <c r="O71" s="325"/>
      <c r="P71" s="325"/>
      <c r="Q71" s="325"/>
      <c r="R71" s="325"/>
      <c r="S71" s="326">
        <v>81045</v>
      </c>
      <c r="T71" s="326">
        <v>88461.9</v>
      </c>
      <c r="U71" s="326">
        <v>84411.9</v>
      </c>
      <c r="V71" s="326">
        <v>73836</v>
      </c>
      <c r="W71" s="326">
        <v>75195</v>
      </c>
      <c r="X71" s="326">
        <v>78795</v>
      </c>
      <c r="Y71" s="326">
        <v>81990</v>
      </c>
      <c r="Z71" s="326">
        <v>80190</v>
      </c>
      <c r="AA71" s="326">
        <v>78840</v>
      </c>
      <c r="AB71" s="326">
        <v>80235</v>
      </c>
      <c r="AC71" s="326">
        <v>80235</v>
      </c>
      <c r="AD71" s="326">
        <v>80235</v>
      </c>
      <c r="AE71" s="326">
        <v>78345</v>
      </c>
      <c r="AF71" s="326">
        <v>78345</v>
      </c>
      <c r="AG71" s="326">
        <v>76545</v>
      </c>
      <c r="AH71" s="326">
        <v>78399</v>
      </c>
      <c r="AI71" s="326">
        <v>78399</v>
      </c>
      <c r="AJ71" s="326">
        <v>78399</v>
      </c>
      <c r="AK71" s="326">
        <v>77499</v>
      </c>
      <c r="AL71" s="326">
        <v>77499</v>
      </c>
      <c r="AM71" s="326">
        <v>77499</v>
      </c>
      <c r="AN71" s="326">
        <v>74799</v>
      </c>
      <c r="AO71" s="326">
        <v>71199</v>
      </c>
      <c r="AP71" s="326">
        <v>71199</v>
      </c>
      <c r="AQ71" s="326">
        <v>72549</v>
      </c>
      <c r="AR71" s="326">
        <v>73008</v>
      </c>
      <c r="AS71" s="326">
        <v>74358</v>
      </c>
      <c r="AT71" s="327">
        <v>80539.58795362903</v>
      </c>
      <c r="AU71" s="328">
        <v>86934.170866935485</v>
      </c>
      <c r="AV71" s="328">
        <v>89341.653225806454</v>
      </c>
      <c r="AW71" s="328">
        <v>91140.766129032243</v>
      </c>
      <c r="AX71" s="328">
        <v>96099.868951612909</v>
      </c>
      <c r="AY71" s="328">
        <v>97828.508064516122</v>
      </c>
      <c r="AZ71" s="328">
        <v>97836.572580645152</v>
      </c>
      <c r="BA71" s="328">
        <v>97190.645161290318</v>
      </c>
      <c r="BB71" s="328">
        <v>97364.107862903213</v>
      </c>
      <c r="BC71" s="328">
        <v>98086.408770161288</v>
      </c>
      <c r="BD71" s="328">
        <v>93706.549059139783</v>
      </c>
      <c r="BE71" s="328">
        <v>83380.277217741939</v>
      </c>
      <c r="BF71" s="328">
        <v>81038.145161290318</v>
      </c>
      <c r="BG71" s="328">
        <v>79961.224798387091</v>
      </c>
      <c r="BH71" s="328">
        <v>79961.224798387091</v>
      </c>
      <c r="BI71" s="328">
        <v>79961.224798387091</v>
      </c>
      <c r="BJ71" s="328">
        <v>77660.846774193546</v>
      </c>
      <c r="BK71" s="328">
        <v>72853.889616935485</v>
      </c>
      <c r="BL71" s="328">
        <v>70820.866935483864</v>
      </c>
      <c r="BM71" s="328">
        <v>71429.147177419349</v>
      </c>
      <c r="BN71" s="328">
        <v>70584.057459677424</v>
      </c>
      <c r="BO71" s="328">
        <v>70105.042002688162</v>
      </c>
      <c r="BP71" s="328">
        <v>67182.930947580651</v>
      </c>
      <c r="BQ71" s="328">
        <v>66724.662298387091</v>
      </c>
      <c r="BR71" s="328">
        <v>67824.059979838712</v>
      </c>
      <c r="BS71" s="328">
        <v>68500.904737903227</v>
      </c>
      <c r="BT71" s="328">
        <v>68724.480846774197</v>
      </c>
      <c r="BU71" s="328">
        <v>66429.480846774182</v>
      </c>
      <c r="BV71" s="328">
        <v>63588.351814516129</v>
      </c>
      <c r="BW71" s="328">
        <v>66402.384072580651</v>
      </c>
      <c r="BX71" s="328">
        <v>70905.260416666657</v>
      </c>
      <c r="BY71" s="328">
        <v>72930.645161290318</v>
      </c>
      <c r="BZ71" s="328">
        <v>74167.31182795699</v>
      </c>
      <c r="CA71" s="328">
        <v>76190.645161290318</v>
      </c>
      <c r="CB71" s="328">
        <v>78563.440860215051</v>
      </c>
      <c r="CC71" s="328">
        <v>82576.774193548394</v>
      </c>
      <c r="CD71" s="328">
        <v>83057.285786290318</v>
      </c>
      <c r="CE71" s="328">
        <v>87461.036626344096</v>
      </c>
      <c r="CF71" s="328">
        <v>95744.682459677424</v>
      </c>
      <c r="CG71" s="328">
        <v>100247.4932795699</v>
      </c>
      <c r="CH71" s="328">
        <v>93822.923387096787</v>
      </c>
      <c r="CI71" s="328">
        <v>89059.213709677409</v>
      </c>
      <c r="CJ71" s="328">
        <v>89672.547043010738</v>
      </c>
      <c r="CK71" s="328">
        <v>92655.342741935485</v>
      </c>
      <c r="CL71" s="328">
        <v>93595.342741935485</v>
      </c>
      <c r="CM71" s="329">
        <f>AVERAGE(S71:CL71)</f>
        <v>80296.705365376722</v>
      </c>
    </row>
    <row r="72" spans="1:178">
      <c r="F72" s="330" t="s">
        <v>410</v>
      </c>
      <c r="G72" s="330"/>
      <c r="H72" s="330"/>
      <c r="I72" s="330"/>
      <c r="J72" s="330"/>
      <c r="K72" s="330"/>
      <c r="L72" s="330"/>
      <c r="M72" s="330"/>
      <c r="N72" s="330"/>
      <c r="O72" s="330"/>
      <c r="P72" s="330"/>
      <c r="Q72" s="330"/>
      <c r="R72" s="330"/>
      <c r="S72" s="331">
        <v>73130.399999999994</v>
      </c>
      <c r="T72" s="331">
        <v>75137.399999999994</v>
      </c>
      <c r="U72" s="331">
        <v>70196.399999999994</v>
      </c>
      <c r="V72" s="331">
        <v>67642.2</v>
      </c>
      <c r="W72" s="331">
        <v>66744</v>
      </c>
      <c r="X72" s="331">
        <v>71694.899999999994</v>
      </c>
      <c r="Y72" s="331">
        <v>73773</v>
      </c>
      <c r="Z72" s="331">
        <v>70695</v>
      </c>
      <c r="AA72" s="331">
        <v>66735</v>
      </c>
      <c r="AB72" s="331">
        <v>72495</v>
      </c>
      <c r="AC72" s="331">
        <v>71613</v>
      </c>
      <c r="AD72" s="331">
        <v>71172</v>
      </c>
      <c r="AE72" s="331">
        <v>69300</v>
      </c>
      <c r="AF72" s="331">
        <v>71055</v>
      </c>
      <c r="AG72" s="331">
        <v>71055</v>
      </c>
      <c r="AH72" s="331">
        <v>75069</v>
      </c>
      <c r="AI72" s="331">
        <v>75069</v>
      </c>
      <c r="AJ72" s="331">
        <v>78147</v>
      </c>
      <c r="AK72" s="331">
        <v>74601</v>
      </c>
      <c r="AL72" s="331">
        <v>73314</v>
      </c>
      <c r="AM72" s="331">
        <v>73314</v>
      </c>
      <c r="AN72" s="331">
        <v>71992.800000000003</v>
      </c>
      <c r="AO72" s="331">
        <v>74170.8</v>
      </c>
      <c r="AP72" s="331">
        <v>75970.8</v>
      </c>
      <c r="AQ72" s="331">
        <v>79579.8</v>
      </c>
      <c r="AR72" s="331">
        <v>78679.8</v>
      </c>
      <c r="AS72" s="331">
        <v>78679.8</v>
      </c>
      <c r="AT72" s="332">
        <v>82316.144548146898</v>
      </c>
      <c r="AU72" s="333">
        <v>87120.247838398529</v>
      </c>
      <c r="AV72" s="333">
        <v>88230.55929702321</v>
      </c>
      <c r="AW72" s="333">
        <v>88137.702676638582</v>
      </c>
      <c r="AX72" s="333">
        <v>90726.081075997456</v>
      </c>
      <c r="AY72" s="333">
        <v>93640.936364928682</v>
      </c>
      <c r="AZ72" s="333">
        <v>92952.565226764884</v>
      </c>
      <c r="BA72" s="333">
        <v>90410.936364928682</v>
      </c>
      <c r="BB72" s="333">
        <v>92250.936364928682</v>
      </c>
      <c r="BC72" s="333">
        <v>94825.936364928682</v>
      </c>
      <c r="BD72" s="333">
        <v>91827.603031595354</v>
      </c>
      <c r="BE72" s="333">
        <v>79800.936364928682</v>
      </c>
      <c r="BF72" s="333">
        <v>79925.936364928668</v>
      </c>
      <c r="BG72" s="333">
        <v>82092.565226764898</v>
      </c>
      <c r="BH72" s="333">
        <v>83705.936364928682</v>
      </c>
      <c r="BI72" s="333">
        <v>86337.244991853178</v>
      </c>
      <c r="BJ72" s="333">
        <v>88343.09322299331</v>
      </c>
      <c r="BK72" s="333">
        <v>84371.0867978694</v>
      </c>
      <c r="BL72" s="333">
        <v>82533.667556645247</v>
      </c>
      <c r="BM72" s="333">
        <v>83915.296418481477</v>
      </c>
      <c r="BN72" s="333">
        <v>85998.353851846667</v>
      </c>
      <c r="BO72" s="333">
        <v>83680.839372426868</v>
      </c>
      <c r="BP72" s="333">
        <v>78296.420131202744</v>
      </c>
      <c r="BQ72" s="333">
        <v>74908.667556645261</v>
      </c>
      <c r="BR72" s="333">
        <v>75368.667556645261</v>
      </c>
      <c r="BS72" s="333">
        <v>74755.334223311933</v>
      </c>
      <c r="BT72" s="333">
        <v>71698.667556645261</v>
      </c>
      <c r="BU72" s="333">
        <v>67093.667556645261</v>
      </c>
      <c r="BV72" s="333">
        <v>66173.667556645261</v>
      </c>
      <c r="BW72" s="333">
        <v>70296.297866503111</v>
      </c>
      <c r="BX72" s="333">
        <v>73811.225510968739</v>
      </c>
      <c r="BY72" s="333">
        <v>73104.932138219243</v>
      </c>
      <c r="BZ72" s="333">
        <v>73109.932138219243</v>
      </c>
      <c r="CA72" s="333">
        <v>76518.265471552571</v>
      </c>
      <c r="CB72" s="333">
        <v>82074.932138219243</v>
      </c>
      <c r="CC72" s="333">
        <v>90244.932138219243</v>
      </c>
      <c r="CD72" s="333">
        <v>93047.449038505991</v>
      </c>
      <c r="CE72" s="333">
        <v>98603.920574120828</v>
      </c>
      <c r="CF72" s="333">
        <v>112597.05572119531</v>
      </c>
      <c r="CG72" s="333">
        <v>112518.32981716725</v>
      </c>
      <c r="CH72" s="333">
        <v>106216.66315050058</v>
      </c>
      <c r="CI72" s="333">
        <v>98978.114255042339</v>
      </c>
      <c r="CJ72" s="333">
        <v>99434.349797459188</v>
      </c>
      <c r="CK72" s="333">
        <v>103781.54397226339</v>
      </c>
      <c r="CL72" s="333">
        <v>105181.5439722634</v>
      </c>
      <c r="CM72" s="334">
        <f>AVERAGE(S72:CL72)</f>
        <v>81416.46229897374</v>
      </c>
    </row>
    <row r="73" spans="1:178">
      <c r="F73" s="293"/>
      <c r="G73" s="294"/>
      <c r="H73" s="294"/>
      <c r="I73" s="294"/>
      <c r="J73" s="294"/>
      <c r="K73" s="294"/>
      <c r="L73" s="294"/>
      <c r="M73" s="294"/>
      <c r="N73" s="294"/>
      <c r="O73" s="294"/>
      <c r="P73" s="294"/>
      <c r="Q73" s="294"/>
      <c r="R73" s="294"/>
      <c r="S73" s="294"/>
      <c r="T73" s="294"/>
      <c r="U73" s="294"/>
      <c r="V73" s="294"/>
      <c r="W73" s="294"/>
      <c r="X73" s="294"/>
      <c r="Y73" s="294"/>
      <c r="Z73" s="294"/>
      <c r="AA73" s="294"/>
      <c r="AB73" s="294"/>
      <c r="AC73" s="294"/>
      <c r="AD73" s="294"/>
      <c r="AE73" s="294"/>
      <c r="AF73" s="294"/>
      <c r="AG73" s="294"/>
      <c r="AH73" s="294"/>
      <c r="AI73" s="294"/>
      <c r="AJ73" s="294"/>
      <c r="AK73" s="294"/>
      <c r="AL73" s="294"/>
      <c r="AM73" s="294"/>
      <c r="AN73" s="294"/>
      <c r="AO73" s="294"/>
      <c r="AP73" s="294"/>
      <c r="AQ73" s="294"/>
      <c r="AR73" s="294"/>
      <c r="AS73" s="294"/>
      <c r="AT73" s="335"/>
      <c r="AU73" s="225"/>
      <c r="AV73" s="225"/>
      <c r="AW73" s="225"/>
      <c r="AX73" s="225"/>
      <c r="AY73" s="225"/>
      <c r="AZ73" s="225"/>
      <c r="BA73" s="225"/>
      <c r="BB73" s="225"/>
      <c r="BC73" s="225"/>
      <c r="BD73" s="225"/>
      <c r="BE73" s="225"/>
      <c r="BF73" s="225"/>
      <c r="BG73" s="225"/>
      <c r="BH73" s="225"/>
      <c r="BI73" s="225"/>
      <c r="BJ73" s="225"/>
      <c r="BK73" s="225"/>
      <c r="BL73" s="225"/>
      <c r="BM73" s="225"/>
      <c r="BN73" s="225"/>
      <c r="BO73" s="225"/>
      <c r="BP73" s="225"/>
      <c r="BQ73" s="225"/>
      <c r="BR73" s="225"/>
      <c r="BS73" s="225"/>
      <c r="BT73" s="225"/>
      <c r="BU73" s="225"/>
      <c r="BV73" s="225"/>
      <c r="BW73" s="225"/>
      <c r="BX73" s="225"/>
      <c r="BY73" s="225"/>
      <c r="BZ73" s="225"/>
      <c r="CA73" s="225"/>
      <c r="CB73" s="225"/>
      <c r="CC73" s="225"/>
      <c r="CD73" s="225"/>
      <c r="CE73" s="225"/>
      <c r="CF73" s="225"/>
      <c r="CG73" s="225"/>
      <c r="CH73" s="225"/>
      <c r="CI73" s="225"/>
      <c r="CJ73" s="225"/>
      <c r="CK73" s="225"/>
      <c r="CL73" s="225"/>
      <c r="CM73" s="336"/>
    </row>
  </sheetData>
  <mergeCells count="11">
    <mergeCell ref="A57:E66"/>
    <mergeCell ref="A2:A6"/>
    <mergeCell ref="A7:A11"/>
    <mergeCell ref="A12:A15"/>
    <mergeCell ref="E12:E15"/>
    <mergeCell ref="A16:A22"/>
    <mergeCell ref="E16:E22"/>
    <mergeCell ref="A23:A33"/>
    <mergeCell ref="A34:A40"/>
    <mergeCell ref="E34:E40"/>
    <mergeCell ref="A42:A4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BA743-C26F-49E9-9CC1-DAE69242212C}">
  <sheetPr codeName="Sheet26">
    <tabColor rgb="FFFFC000"/>
  </sheetPr>
  <dimension ref="A1:E97"/>
  <sheetViews>
    <sheetView showGridLines="0" topLeftCell="A5" zoomScale="96" zoomScaleNormal="96" workbookViewId="0">
      <selection activeCell="A45" sqref="A45:E45"/>
    </sheetView>
  </sheetViews>
  <sheetFormatPr defaultRowHeight="12.75"/>
  <cols>
    <col min="1" max="1" width="75.140625" style="1" bestFit="1" customWidth="1"/>
    <col min="2" max="2" width="29.42578125" style="1" customWidth="1"/>
    <col min="3" max="3" width="34.140625" style="1" customWidth="1"/>
    <col min="4" max="4" width="24" style="1" customWidth="1"/>
    <col min="5" max="16384" width="9.140625" style="1"/>
  </cols>
  <sheetData>
    <row r="1" spans="1:4" ht="15" customHeight="1">
      <c r="A1" s="622" t="s">
        <v>524</v>
      </c>
      <c r="B1" s="624" t="s">
        <v>525</v>
      </c>
      <c r="C1" s="624" t="s">
        <v>535</v>
      </c>
      <c r="D1" s="624" t="s">
        <v>596</v>
      </c>
    </row>
    <row r="2" spans="1:4">
      <c r="A2" s="623" t="s">
        <v>526</v>
      </c>
      <c r="B2" s="625">
        <f>'Financial Model High Propane'!CM69</f>
        <v>37679.592030365828</v>
      </c>
      <c r="C2" s="625">
        <f>'Financial Model Base Case'!CM67</f>
        <v>35896.474861241048</v>
      </c>
      <c r="D2" s="625">
        <f>'Financial Model High Ethane'!CM69</f>
        <v>36032.734614694877</v>
      </c>
    </row>
    <row r="3" spans="1:4">
      <c r="A3" s="623" t="s">
        <v>527</v>
      </c>
      <c r="B3" s="625">
        <f>'Financial Model High Propane'!CM70</f>
        <v>52589.862751923225</v>
      </c>
      <c r="C3" s="625">
        <f>'Financial Model Base Case'!CM68</f>
        <v>53112.836994864323</v>
      </c>
      <c r="D3" s="625">
        <f>'Financial Model High Ethane'!CM70</f>
        <v>56068.030533556761</v>
      </c>
    </row>
    <row r="4" spans="1:4" hidden="1">
      <c r="A4" s="623"/>
      <c r="B4" s="625"/>
      <c r="C4" s="625"/>
      <c r="D4" s="625"/>
    </row>
    <row r="5" spans="1:4" s="167" customFormat="1">
      <c r="A5" s="167" t="s">
        <v>528</v>
      </c>
      <c r="B5" s="366">
        <f>SUM(B6:B11)</f>
        <v>48726.853263762656</v>
      </c>
      <c r="C5" s="366">
        <f t="shared" ref="C5" si="0">SUM(C6:C11)</f>
        <v>46861.712704858139</v>
      </c>
      <c r="D5" s="366">
        <f>SUM(D6:D11)</f>
        <v>47004.240406970843</v>
      </c>
    </row>
    <row r="6" spans="1:4" ht="15" hidden="1" customHeight="1">
      <c r="A6" s="1" t="s">
        <v>529</v>
      </c>
      <c r="B6" s="75">
        <f>1.046*B2</f>
        <v>39412.853263762656</v>
      </c>
      <c r="C6" s="75">
        <f>1.046*C2</f>
        <v>37547.712704858139</v>
      </c>
      <c r="D6" s="75">
        <f>D2*1.046</f>
        <v>37690.240406970843</v>
      </c>
    </row>
    <row r="7" spans="1:4" ht="15" hidden="1" customHeight="1">
      <c r="A7" s="1" t="s">
        <v>530</v>
      </c>
      <c r="B7" s="75">
        <v>2500</v>
      </c>
      <c r="C7" s="75">
        <v>2500</v>
      </c>
      <c r="D7" s="58">
        <v>2500</v>
      </c>
    </row>
    <row r="8" spans="1:4" ht="15" hidden="1" customHeight="1">
      <c r="A8" s="1" t="s">
        <v>106</v>
      </c>
      <c r="B8" s="75">
        <v>3000</v>
      </c>
      <c r="C8" s="75">
        <v>3000</v>
      </c>
      <c r="D8" s="58">
        <v>3000</v>
      </c>
    </row>
    <row r="9" spans="1:4" ht="15" hidden="1" customHeight="1">
      <c r="A9" s="1" t="s">
        <v>240</v>
      </c>
      <c r="B9" s="75">
        <v>2100</v>
      </c>
      <c r="C9" s="75">
        <v>2100</v>
      </c>
      <c r="D9" s="58">
        <v>2100</v>
      </c>
    </row>
    <row r="10" spans="1:4" ht="15" hidden="1" customHeight="1">
      <c r="A10" s="1" t="s">
        <v>31</v>
      </c>
      <c r="B10" s="75">
        <v>1814</v>
      </c>
      <c r="C10" s="75">
        <v>1814</v>
      </c>
      <c r="D10" s="58">
        <v>1814</v>
      </c>
    </row>
    <row r="11" spans="1:4" ht="15" hidden="1" customHeight="1">
      <c r="A11" s="1" t="s">
        <v>531</v>
      </c>
      <c r="B11" s="75">
        <v>-100</v>
      </c>
      <c r="C11" s="75">
        <v>-100</v>
      </c>
      <c r="D11" s="58">
        <v>-100</v>
      </c>
    </row>
    <row r="12" spans="1:4" hidden="1">
      <c r="A12" s="1" t="s">
        <v>408</v>
      </c>
      <c r="B12" s="75">
        <f>'Financial Model High Propane'!CM72</f>
        <v>77330.538657407393</v>
      </c>
      <c r="C12" s="75">
        <f>B12</f>
        <v>77330.538657407393</v>
      </c>
      <c r="D12" s="75">
        <f>'Financial Model High Ethane'!CM72</f>
        <v>77330.538657407393</v>
      </c>
    </row>
    <row r="13" spans="1:4" hidden="1">
      <c r="A13" s="1" t="s">
        <v>532</v>
      </c>
      <c r="B13" s="75">
        <f t="shared" ref="B13" si="1">B12-B5</f>
        <v>28603.685393644737</v>
      </c>
      <c r="C13" s="75">
        <f t="shared" ref="C13" si="2">C12-C5</f>
        <v>30468.825952549254</v>
      </c>
      <c r="D13" s="75">
        <f>D12-D5</f>
        <v>30326.29825043655</v>
      </c>
    </row>
    <row r="14" spans="1:4">
      <c r="B14" s="75"/>
      <c r="C14" s="75"/>
      <c r="D14" s="58"/>
    </row>
    <row r="15" spans="1:4" s="167" customFormat="1">
      <c r="A15" s="167" t="s">
        <v>533</v>
      </c>
      <c r="B15" s="366">
        <f t="shared" ref="B15" si="3">SUM(B16:B21)</f>
        <v>49717.16347249144</v>
      </c>
      <c r="C15" s="366">
        <f t="shared" ref="C15" si="4">SUM(C16:C21)</f>
        <v>47809.228101527922</v>
      </c>
      <c r="D15" s="366">
        <f>SUM(D16:D21)</f>
        <v>47955.026037723517</v>
      </c>
    </row>
    <row r="16" spans="1:4" hidden="1">
      <c r="A16" s="1" t="s">
        <v>529</v>
      </c>
      <c r="B16" s="75">
        <f>1.07*B2</f>
        <v>40317.16347249144</v>
      </c>
      <c r="C16" s="75">
        <f>1.07*C2</f>
        <v>38409.228101527922</v>
      </c>
      <c r="D16" s="75">
        <f>1.07*D2</f>
        <v>38555.026037723517</v>
      </c>
    </row>
    <row r="17" spans="1:4" hidden="1">
      <c r="A17" s="1" t="s">
        <v>530</v>
      </c>
      <c r="B17" s="75">
        <v>4000</v>
      </c>
      <c r="C17" s="75">
        <v>4000</v>
      </c>
      <c r="D17" s="58">
        <v>4000</v>
      </c>
    </row>
    <row r="18" spans="1:4" hidden="1">
      <c r="A18" s="1" t="s">
        <v>106</v>
      </c>
      <c r="B18" s="75">
        <v>3500</v>
      </c>
      <c r="C18" s="75">
        <v>3500</v>
      </c>
      <c r="D18" s="58">
        <v>3500</v>
      </c>
    </row>
    <row r="19" spans="1:4" hidden="1">
      <c r="A19" s="1" t="s">
        <v>240</v>
      </c>
      <c r="B19" s="75">
        <v>1200</v>
      </c>
      <c r="C19" s="75">
        <v>1200</v>
      </c>
      <c r="D19" s="58">
        <v>1200</v>
      </c>
    </row>
    <row r="20" spans="1:4" hidden="1">
      <c r="A20" s="1" t="s">
        <v>31</v>
      </c>
      <c r="B20" s="75">
        <v>2700</v>
      </c>
      <c r="C20" s="75">
        <v>2700</v>
      </c>
      <c r="D20" s="58">
        <v>2700</v>
      </c>
    </row>
    <row r="21" spans="1:4" hidden="1">
      <c r="A21" s="1" t="s">
        <v>531</v>
      </c>
      <c r="B21" s="75">
        <v>-2000</v>
      </c>
      <c r="C21" s="75">
        <v>-2000</v>
      </c>
      <c r="D21" s="58">
        <v>-2000</v>
      </c>
    </row>
    <row r="22" spans="1:4" hidden="1">
      <c r="A22" s="1" t="s">
        <v>409</v>
      </c>
      <c r="B22" s="75">
        <f>'Financial Model High Propane'!CM73</f>
        <v>80296.705365376722</v>
      </c>
      <c r="C22" s="75">
        <f>B22</f>
        <v>80296.705365376722</v>
      </c>
      <c r="D22" s="75">
        <f>'Financial Model High Ethane'!CM73</f>
        <v>80296.705365376722</v>
      </c>
    </row>
    <row r="23" spans="1:4" hidden="1">
      <c r="A23" s="1" t="s">
        <v>532</v>
      </c>
      <c r="B23" s="75">
        <f t="shared" ref="B23" si="5">B22-B15</f>
        <v>30579.541892885281</v>
      </c>
      <c r="C23" s="75">
        <f t="shared" ref="C23" si="6">C22-C15</f>
        <v>32487.477263848799</v>
      </c>
      <c r="D23" s="75">
        <f>D22-D15</f>
        <v>32341.679327653204</v>
      </c>
    </row>
    <row r="24" spans="1:4">
      <c r="B24" s="75"/>
      <c r="C24" s="75"/>
      <c r="D24" s="58"/>
    </row>
    <row r="25" spans="1:4" s="167" customFormat="1">
      <c r="A25" s="167" t="s">
        <v>534</v>
      </c>
      <c r="B25" s="366">
        <f t="shared" ref="B25" si="7">SUM(B26:B31)</f>
        <v>61966.766026767458</v>
      </c>
      <c r="C25" s="366">
        <f t="shared" ref="C25:D25" si="8">SUM(C26:C31)</f>
        <v>62515.366007612669</v>
      </c>
      <c r="D25" s="366">
        <f t="shared" si="8"/>
        <v>65615.364029701042</v>
      </c>
    </row>
    <row r="26" spans="1:4" ht="15" hidden="1" customHeight="1">
      <c r="A26" s="1" t="s">
        <v>529</v>
      </c>
      <c r="B26" s="75">
        <f>1.049*B3</f>
        <v>55166.766026767458</v>
      </c>
      <c r="C26" s="75">
        <f>1.049*C3</f>
        <v>55715.366007612669</v>
      </c>
      <c r="D26" s="75">
        <f>1.049*D3</f>
        <v>58815.364029701035</v>
      </c>
    </row>
    <row r="27" spans="1:4" ht="15" hidden="1" customHeight="1">
      <c r="A27" s="1" t="s">
        <v>530</v>
      </c>
      <c r="B27" s="75">
        <v>2500</v>
      </c>
      <c r="C27" s="75">
        <v>2500</v>
      </c>
      <c r="D27" s="75">
        <v>2500</v>
      </c>
    </row>
    <row r="28" spans="1:4" ht="15" hidden="1" customHeight="1">
      <c r="A28" s="1" t="s">
        <v>106</v>
      </c>
      <c r="B28" s="75">
        <v>2500</v>
      </c>
      <c r="C28" s="75">
        <v>2500</v>
      </c>
      <c r="D28" s="75">
        <v>2500</v>
      </c>
    </row>
    <row r="29" spans="1:4" ht="15" hidden="1" customHeight="1">
      <c r="A29" s="1" t="s">
        <v>240</v>
      </c>
      <c r="B29" s="75">
        <v>1600</v>
      </c>
      <c r="C29" s="75">
        <v>1600</v>
      </c>
      <c r="D29" s="75">
        <v>1600</v>
      </c>
    </row>
    <row r="30" spans="1:4" ht="15" hidden="1" customHeight="1">
      <c r="A30" s="1" t="s">
        <v>31</v>
      </c>
      <c r="B30" s="75">
        <v>1900</v>
      </c>
      <c r="C30" s="75">
        <v>1900</v>
      </c>
      <c r="D30" s="75">
        <v>1900</v>
      </c>
    </row>
    <row r="31" spans="1:4" ht="15" hidden="1" customHeight="1">
      <c r="A31" s="1" t="s">
        <v>531</v>
      </c>
      <c r="B31" s="75">
        <v>-1700</v>
      </c>
      <c r="C31" s="75">
        <v>-1700</v>
      </c>
      <c r="D31" s="75">
        <v>-1700</v>
      </c>
    </row>
    <row r="32" spans="1:4" hidden="1">
      <c r="A32" s="1" t="s">
        <v>410</v>
      </c>
      <c r="B32" s="75">
        <f>'Financial Model High Propane'!CM74</f>
        <v>81416.46229897374</v>
      </c>
      <c r="C32" s="75">
        <f>B32</f>
        <v>81416.46229897374</v>
      </c>
      <c r="D32" s="75">
        <f>'Financial Model High Ethane'!CM74</f>
        <v>81416.46229897374</v>
      </c>
    </row>
    <row r="33" spans="1:5" hidden="1">
      <c r="A33" s="1" t="s">
        <v>532</v>
      </c>
      <c r="B33" s="75">
        <f t="shared" ref="B33" si="9">B32-B25</f>
        <v>19449.696272206282</v>
      </c>
      <c r="C33" s="75">
        <f t="shared" ref="C33:D33" si="10">C32-C25</f>
        <v>18901.096291361071</v>
      </c>
      <c r="D33" s="75">
        <f t="shared" si="10"/>
        <v>15801.098269272698</v>
      </c>
    </row>
    <row r="34" spans="1:5">
      <c r="B34" s="58"/>
      <c r="C34" s="58"/>
    </row>
    <row r="35" spans="1:5">
      <c r="B35" s="1075"/>
      <c r="C35" s="1075"/>
    </row>
    <row r="36" spans="1:5">
      <c r="A36" s="1076" t="s">
        <v>516</v>
      </c>
      <c r="B36" s="1076"/>
      <c r="C36" s="1076"/>
      <c r="D36" s="1076"/>
    </row>
    <row r="37" spans="1:5">
      <c r="A37" s="1009" t="s">
        <v>517</v>
      </c>
      <c r="B37" s="1006">
        <f>'Opex PVC'!B65</f>
        <v>161200</v>
      </c>
      <c r="C37" s="1006">
        <v>0</v>
      </c>
      <c r="D37" s="1006">
        <f>'Opex PVC'!B65</f>
        <v>161200</v>
      </c>
    </row>
    <row r="38" spans="1:5">
      <c r="A38" s="1008" t="s">
        <v>518</v>
      </c>
      <c r="B38" s="1006">
        <f>'Scenario Phenol'!C3</f>
        <v>91750</v>
      </c>
      <c r="C38" s="1006">
        <v>0</v>
      </c>
      <c r="D38" s="1006">
        <f>'Scenario Phenol'!C3</f>
        <v>91750</v>
      </c>
    </row>
    <row r="39" spans="1:5">
      <c r="A39" s="1008" t="s">
        <v>519</v>
      </c>
      <c r="B39" s="1006">
        <f>0.35*(('Financial Model High Propane'!CM16*12)-B37)/1.046</f>
        <v>396989.61408913328</v>
      </c>
      <c r="C39" s="1006">
        <f>'Financial Model Base Case'!CM16*12*0.35/1.046</f>
        <v>367556.88336520077</v>
      </c>
      <c r="D39" s="1006">
        <f>0.35*(('Financial Model High Ethane'!CM16*12)-D37)/1.046</f>
        <v>405494.07265774382</v>
      </c>
    </row>
    <row r="40" spans="1:5">
      <c r="A40" s="1008" t="s">
        <v>520</v>
      </c>
      <c r="B40" s="1006">
        <f>0.65*('Financial Model High Propane'!CM16*12-B37)/1.07</f>
        <v>720729.6091300447</v>
      </c>
      <c r="C40" s="1006">
        <f>('Financial Model Base Case'!CM16*12*0.65)/1.07</f>
        <v>667294.85981308413</v>
      </c>
      <c r="D40" s="1006">
        <f>0.65*('Financial Model High Ethane'!CM16*12-D37)/1.07</f>
        <v>736169.34579439263</v>
      </c>
    </row>
    <row r="41" spans="1:5">
      <c r="A41" s="1008" t="s">
        <v>521</v>
      </c>
      <c r="B41" s="1006">
        <f>('Financial Model High Propane'!CM17*12-B38)/1.049</f>
        <v>404935.75619473605</v>
      </c>
      <c r="C41" s="1006">
        <f>'Financial Model Base Case'!CM17*12/1.049</f>
        <v>381286.93994280271</v>
      </c>
      <c r="D41" s="1006">
        <f>('Financial Model High Ethane'!CM17*12-D38)/1.049</f>
        <v>238697.80743565303</v>
      </c>
    </row>
    <row r="42" spans="1:5">
      <c r="A42" s="1008" t="s">
        <v>536</v>
      </c>
      <c r="B42" s="1007">
        <f>(B39*B12+B40*B22+B41*B32)/10^7</f>
        <v>12154.007049906244</v>
      </c>
      <c r="C42" s="1007">
        <f>(C39*C12+C40*C22+C41*C32)/10^7</f>
        <v>11304.798429905468</v>
      </c>
      <c r="D42" s="1007">
        <f>(D39*D12+D40*D22+D41*D32)/10^7</f>
        <v>10990.297915921623</v>
      </c>
    </row>
    <row r="43" spans="1:5" ht="30">
      <c r="A43" s="626" t="s">
        <v>537</v>
      </c>
      <c r="B43" s="1005">
        <f>B42-C42</f>
        <v>849.20862000077614</v>
      </c>
      <c r="C43" s="606"/>
      <c r="D43" s="1005">
        <f>D42-C42</f>
        <v>-314.50051398384494</v>
      </c>
    </row>
    <row r="44" spans="1:5">
      <c r="B44" s="58"/>
      <c r="C44" s="58"/>
    </row>
    <row r="45" spans="1:5">
      <c r="A45" s="1077" t="s">
        <v>598</v>
      </c>
      <c r="B45" s="1077"/>
      <c r="C45" s="1077"/>
      <c r="D45" s="1077"/>
      <c r="E45" s="1077"/>
    </row>
    <row r="46" spans="1:5">
      <c r="B46" s="58"/>
      <c r="C46" s="58"/>
    </row>
    <row r="47" spans="1:5">
      <c r="B47" s="58"/>
      <c r="C47" s="58"/>
    </row>
    <row r="48" spans="1:5">
      <c r="B48" s="58"/>
      <c r="C48" s="58"/>
    </row>
    <row r="49" spans="2:3">
      <c r="B49" s="58"/>
      <c r="C49" s="58"/>
    </row>
    <row r="50" spans="2:3">
      <c r="B50" s="58"/>
      <c r="C50" s="58"/>
    </row>
    <row r="51" spans="2:3">
      <c r="B51" s="58"/>
      <c r="C51" s="58"/>
    </row>
    <row r="52" spans="2:3">
      <c r="B52" s="58"/>
      <c r="C52" s="58"/>
    </row>
    <row r="53" spans="2:3">
      <c r="B53" s="58"/>
      <c r="C53" s="58"/>
    </row>
    <row r="54" spans="2:3">
      <c r="B54" s="58"/>
      <c r="C54" s="58"/>
    </row>
    <row r="55" spans="2:3">
      <c r="B55" s="58"/>
      <c r="C55" s="58"/>
    </row>
    <row r="56" spans="2:3">
      <c r="B56" s="58"/>
      <c r="C56" s="58"/>
    </row>
    <row r="57" spans="2:3">
      <c r="B57" s="58"/>
      <c r="C57" s="58"/>
    </row>
    <row r="58" spans="2:3">
      <c r="B58" s="58"/>
      <c r="C58" s="58"/>
    </row>
    <row r="59" spans="2:3">
      <c r="B59" s="58"/>
      <c r="C59" s="58"/>
    </row>
    <row r="60" spans="2:3">
      <c r="B60" s="58"/>
      <c r="C60" s="58"/>
    </row>
    <row r="61" spans="2:3">
      <c r="B61" s="58"/>
      <c r="C61" s="58"/>
    </row>
    <row r="62" spans="2:3">
      <c r="B62" s="58"/>
      <c r="C62" s="58"/>
    </row>
    <row r="63" spans="2:3">
      <c r="B63" s="58"/>
      <c r="C63" s="58"/>
    </row>
    <row r="64" spans="2:3">
      <c r="B64" s="58"/>
      <c r="C64" s="58"/>
    </row>
    <row r="65" spans="2:3">
      <c r="B65" s="58"/>
      <c r="C65" s="58"/>
    </row>
    <row r="66" spans="2:3">
      <c r="B66" s="58"/>
      <c r="C66" s="58"/>
    </row>
    <row r="67" spans="2:3">
      <c r="B67" s="58"/>
      <c r="C67" s="58"/>
    </row>
    <row r="68" spans="2:3">
      <c r="B68" s="58"/>
      <c r="C68" s="58"/>
    </row>
    <row r="69" spans="2:3">
      <c r="B69" s="58"/>
      <c r="C69" s="58"/>
    </row>
    <row r="70" spans="2:3">
      <c r="B70" s="58"/>
      <c r="C70" s="58"/>
    </row>
    <row r="71" spans="2:3">
      <c r="B71" s="58"/>
      <c r="C71" s="58"/>
    </row>
    <row r="72" spans="2:3">
      <c r="B72" s="58"/>
      <c r="C72" s="58"/>
    </row>
    <row r="73" spans="2:3">
      <c r="B73" s="58"/>
      <c r="C73" s="58"/>
    </row>
    <row r="74" spans="2:3">
      <c r="B74" s="58"/>
      <c r="C74" s="58"/>
    </row>
    <row r="75" spans="2:3">
      <c r="B75" s="58"/>
      <c r="C75" s="58"/>
    </row>
    <row r="76" spans="2:3">
      <c r="B76" s="58"/>
      <c r="C76" s="58"/>
    </row>
    <row r="77" spans="2:3">
      <c r="B77" s="58"/>
      <c r="C77" s="58"/>
    </row>
    <row r="78" spans="2:3">
      <c r="B78" s="58"/>
      <c r="C78" s="58"/>
    </row>
    <row r="79" spans="2:3">
      <c r="B79" s="58"/>
      <c r="C79" s="58"/>
    </row>
    <row r="80" spans="2:3">
      <c r="B80" s="58"/>
      <c r="C80" s="58"/>
    </row>
    <row r="81" spans="2:3">
      <c r="B81" s="58"/>
      <c r="C81" s="58"/>
    </row>
    <row r="82" spans="2:3">
      <c r="B82" s="58"/>
      <c r="C82" s="58"/>
    </row>
    <row r="83" spans="2:3">
      <c r="B83" s="58"/>
      <c r="C83" s="58"/>
    </row>
    <row r="84" spans="2:3">
      <c r="B84" s="58"/>
      <c r="C84" s="58"/>
    </row>
    <row r="85" spans="2:3">
      <c r="B85" s="58"/>
      <c r="C85" s="58"/>
    </row>
    <row r="86" spans="2:3">
      <c r="B86" s="58"/>
      <c r="C86" s="58"/>
    </row>
    <row r="87" spans="2:3">
      <c r="B87" s="58"/>
      <c r="C87" s="58"/>
    </row>
    <row r="88" spans="2:3">
      <c r="B88" s="58"/>
      <c r="C88" s="58"/>
    </row>
    <row r="89" spans="2:3">
      <c r="B89" s="58"/>
      <c r="C89" s="58"/>
    </row>
    <row r="90" spans="2:3">
      <c r="B90" s="58"/>
      <c r="C90" s="58"/>
    </row>
    <row r="91" spans="2:3">
      <c r="B91" s="58"/>
      <c r="C91" s="58"/>
    </row>
    <row r="92" spans="2:3">
      <c r="B92" s="58"/>
      <c r="C92" s="58"/>
    </row>
    <row r="93" spans="2:3">
      <c r="B93" s="58"/>
      <c r="C93" s="58"/>
    </row>
    <row r="94" spans="2:3">
      <c r="B94" s="58"/>
      <c r="C94" s="58"/>
    </row>
    <row r="95" spans="2:3">
      <c r="B95" s="58"/>
      <c r="C95" s="58"/>
    </row>
    <row r="96" spans="2:3">
      <c r="B96" s="58"/>
      <c r="C96" s="58"/>
    </row>
    <row r="97" spans="2:3">
      <c r="B97" s="58"/>
      <c r="C97" s="58"/>
    </row>
  </sheetData>
  <mergeCells count="3">
    <mergeCell ref="B35:C35"/>
    <mergeCell ref="A36:D36"/>
    <mergeCell ref="A45:E4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3A4F4-F449-455A-8ACC-CF18F8EF002F}">
  <sheetPr codeName="Sheet11"/>
  <dimension ref="A1:X19"/>
  <sheetViews>
    <sheetView showGridLines="0" topLeftCell="A3" zoomScaleNormal="100" zoomScaleSheetLayoutView="118" workbookViewId="0">
      <selection activeCell="C14" sqref="C14"/>
    </sheetView>
  </sheetViews>
  <sheetFormatPr defaultRowHeight="15"/>
  <cols>
    <col min="1" max="1" width="8" style="80" customWidth="1"/>
    <col min="2" max="2" width="24.7109375" customWidth="1"/>
    <col min="3" max="3" width="18.28515625" bestFit="1" customWidth="1"/>
    <col min="4" max="4" width="18.140625" bestFit="1" customWidth="1"/>
    <col min="5" max="5" width="19.28515625" bestFit="1" customWidth="1"/>
    <col min="6" max="24" width="6.5703125" hidden="1" customWidth="1"/>
    <col min="25" max="26" width="9.140625" customWidth="1"/>
  </cols>
  <sheetData>
    <row r="1" spans="1:24">
      <c r="A1" s="1078" t="s">
        <v>358</v>
      </c>
      <c r="B1" s="1078"/>
      <c r="C1" s="1078"/>
      <c r="D1" s="1078"/>
      <c r="E1" s="1078"/>
    </row>
    <row r="2" spans="1:24">
      <c r="A2" s="1078" t="s">
        <v>358</v>
      </c>
      <c r="B2" s="1078"/>
      <c r="C2" s="1078"/>
      <c r="D2" s="1078"/>
      <c r="E2" s="1078"/>
    </row>
    <row r="3" spans="1:24" ht="21.75" customHeight="1">
      <c r="A3" s="83" t="s">
        <v>117</v>
      </c>
      <c r="B3" s="83" t="s">
        <v>198</v>
      </c>
      <c r="C3" s="84" t="s">
        <v>195</v>
      </c>
      <c r="D3" s="84" t="s">
        <v>196</v>
      </c>
      <c r="E3" s="83" t="s">
        <v>197</v>
      </c>
      <c r="F3" s="496">
        <v>2028</v>
      </c>
      <c r="G3" s="496">
        <v>2029</v>
      </c>
      <c r="H3" s="496">
        <v>2030</v>
      </c>
      <c r="I3" s="496">
        <v>2031</v>
      </c>
      <c r="J3" s="496">
        <v>2032</v>
      </c>
      <c r="K3" s="496">
        <v>2033</v>
      </c>
      <c r="L3" s="496">
        <v>2034</v>
      </c>
      <c r="M3" s="496">
        <v>2035</v>
      </c>
      <c r="N3" s="496">
        <v>2036</v>
      </c>
      <c r="O3" s="496">
        <v>2037</v>
      </c>
      <c r="P3" s="496">
        <v>2038</v>
      </c>
      <c r="Q3" s="496">
        <v>2039</v>
      </c>
      <c r="R3" s="496">
        <v>2040</v>
      </c>
      <c r="S3" s="496">
        <v>2041</v>
      </c>
      <c r="T3" s="496">
        <v>2042</v>
      </c>
      <c r="U3" s="496">
        <v>2043</v>
      </c>
      <c r="V3" s="496">
        <v>2044</v>
      </c>
      <c r="W3" s="496">
        <v>2045</v>
      </c>
      <c r="X3" s="496">
        <v>2046</v>
      </c>
    </row>
    <row r="4" spans="1:24">
      <c r="A4" s="81">
        <v>1</v>
      </c>
      <c r="B4" s="498" t="s">
        <v>87</v>
      </c>
      <c r="C4" s="82">
        <f>'Financial Model High Propane'!CM57</f>
        <v>74749.509166666656</v>
      </c>
      <c r="D4" s="85">
        <v>350000</v>
      </c>
      <c r="E4" s="499">
        <f>D4*C4/10^7</f>
        <v>2616.2328208333329</v>
      </c>
    </row>
    <row r="5" spans="1:24">
      <c r="A5" s="86"/>
      <c r="B5" s="87" t="s">
        <v>194</v>
      </c>
      <c r="C5" s="88"/>
      <c r="D5" s="88"/>
      <c r="E5" s="500">
        <f>SUM(E4:E4)</f>
        <v>2616.2328208333329</v>
      </c>
      <c r="F5" s="497">
        <f>E5+E5*1.2%</f>
        <v>2647.6276146833329</v>
      </c>
      <c r="G5" s="497">
        <f t="shared" ref="G5:X5" si="0">F5+F5*1.2%</f>
        <v>2679.399146059533</v>
      </c>
      <c r="H5" s="497">
        <f t="shared" si="0"/>
        <v>2711.5519358122474</v>
      </c>
      <c r="I5" s="497">
        <f t="shared" si="0"/>
        <v>2744.0905590419943</v>
      </c>
      <c r="J5" s="497">
        <f t="shared" si="0"/>
        <v>2777.0196457504981</v>
      </c>
      <c r="K5" s="497">
        <f t="shared" si="0"/>
        <v>2810.3438814995038</v>
      </c>
      <c r="L5" s="497">
        <f t="shared" si="0"/>
        <v>2844.0680080774978</v>
      </c>
      <c r="M5" s="497">
        <f t="shared" si="0"/>
        <v>2878.1968241744275</v>
      </c>
      <c r="N5" s="497">
        <f t="shared" si="0"/>
        <v>2912.7351860645208</v>
      </c>
      <c r="O5" s="497">
        <f t="shared" si="0"/>
        <v>2947.6880082972953</v>
      </c>
      <c r="P5" s="497">
        <f t="shared" si="0"/>
        <v>2983.0602643968627</v>
      </c>
      <c r="Q5" s="497">
        <f t="shared" si="0"/>
        <v>3018.8569875696253</v>
      </c>
      <c r="R5" s="497">
        <f t="shared" si="0"/>
        <v>3055.0832714204607</v>
      </c>
      <c r="S5" s="497">
        <f t="shared" si="0"/>
        <v>3091.7442706775064</v>
      </c>
      <c r="T5" s="497">
        <f t="shared" si="0"/>
        <v>3128.8452019256365</v>
      </c>
      <c r="U5" s="497">
        <f t="shared" si="0"/>
        <v>3166.391344348744</v>
      </c>
      <c r="V5" s="497">
        <f>U5+U5*1.2%</f>
        <v>3204.3880404809288</v>
      </c>
      <c r="W5" s="497">
        <f t="shared" si="0"/>
        <v>3242.8406969666999</v>
      </c>
      <c r="X5" s="497">
        <f t="shared" si="0"/>
        <v>3281.7547853303004</v>
      </c>
    </row>
    <row r="6" spans="1:24">
      <c r="A6" s="1078" t="s">
        <v>359</v>
      </c>
      <c r="B6" s="1078"/>
      <c r="C6" s="1078"/>
      <c r="D6" s="1078"/>
      <c r="E6" s="1078"/>
    </row>
    <row r="7" spans="1:24">
      <c r="A7" s="83" t="s">
        <v>117</v>
      </c>
      <c r="B7" s="83" t="s">
        <v>198</v>
      </c>
      <c r="C7" s="84" t="s">
        <v>195</v>
      </c>
      <c r="D7" s="84" t="s">
        <v>196</v>
      </c>
      <c r="E7" s="83" t="s">
        <v>197</v>
      </c>
      <c r="F7" s="496">
        <v>2028</v>
      </c>
      <c r="G7" s="496">
        <v>2029</v>
      </c>
      <c r="H7" s="496">
        <v>2030</v>
      </c>
      <c r="I7" s="496">
        <v>2031</v>
      </c>
      <c r="J7" s="496">
        <v>2032</v>
      </c>
      <c r="K7" s="496">
        <v>2033</v>
      </c>
      <c r="L7" s="496">
        <v>2034</v>
      </c>
      <c r="M7" s="496">
        <v>2035</v>
      </c>
      <c r="N7" s="496">
        <v>2036</v>
      </c>
      <c r="O7" s="496">
        <v>2037</v>
      </c>
      <c r="P7" s="496">
        <v>2038</v>
      </c>
      <c r="Q7" s="496">
        <v>2039</v>
      </c>
      <c r="R7" s="496">
        <v>2040</v>
      </c>
      <c r="S7" s="496">
        <v>2041</v>
      </c>
      <c r="T7" s="496">
        <v>2042</v>
      </c>
      <c r="U7" s="496">
        <v>2043</v>
      </c>
      <c r="V7" s="496">
        <v>2044</v>
      </c>
      <c r="W7" s="496">
        <v>2045</v>
      </c>
      <c r="X7" s="496">
        <v>2046</v>
      </c>
    </row>
    <row r="8" spans="1:24">
      <c r="A8" s="81">
        <v>1</v>
      </c>
      <c r="B8" s="498" t="s">
        <v>87</v>
      </c>
      <c r="C8" s="82">
        <f>'Financial Model High Propane'!CM57</f>
        <v>74749.509166666656</v>
      </c>
      <c r="D8" s="85">
        <v>500000</v>
      </c>
      <c r="E8" s="499">
        <f>D8*C8/10^7</f>
        <v>3737.4754583333329</v>
      </c>
    </row>
    <row r="9" spans="1:24">
      <c r="A9" s="86"/>
      <c r="B9" s="87" t="s">
        <v>194</v>
      </c>
      <c r="C9" s="88"/>
      <c r="D9" s="88"/>
      <c r="E9" s="501">
        <f>SUM(E8:E8)</f>
        <v>3737.4754583333329</v>
      </c>
      <c r="F9" s="497">
        <f>E9+E9*1.2%</f>
        <v>3782.3251638333327</v>
      </c>
      <c r="G9" s="497">
        <f t="shared" ref="G9:X9" si="1">F9+F9*1.2%</f>
        <v>3827.7130657993325</v>
      </c>
      <c r="H9" s="497">
        <f t="shared" si="1"/>
        <v>3873.6456225889247</v>
      </c>
      <c r="I9" s="497">
        <f t="shared" si="1"/>
        <v>3920.1293700599917</v>
      </c>
      <c r="J9" s="497">
        <f t="shared" si="1"/>
        <v>3967.1709225007116</v>
      </c>
      <c r="K9" s="497">
        <f t="shared" si="1"/>
        <v>4014.7769735707202</v>
      </c>
      <c r="L9" s="497">
        <f t="shared" si="1"/>
        <v>4062.9542972535687</v>
      </c>
      <c r="M9" s="497">
        <f t="shared" si="1"/>
        <v>4111.7097488206118</v>
      </c>
      <c r="N9" s="497">
        <f t="shared" si="1"/>
        <v>4161.0502658064588</v>
      </c>
      <c r="O9" s="497">
        <f t="shared" si="1"/>
        <v>4210.9828689961359</v>
      </c>
      <c r="P9" s="497">
        <f t="shared" si="1"/>
        <v>4261.51466342409</v>
      </c>
      <c r="Q9" s="497">
        <f t="shared" si="1"/>
        <v>4312.6528393851795</v>
      </c>
      <c r="R9" s="497">
        <f t="shared" si="1"/>
        <v>4364.4046734578014</v>
      </c>
      <c r="S9" s="497">
        <f t="shared" si="1"/>
        <v>4416.7775295392948</v>
      </c>
      <c r="T9" s="497">
        <f t="shared" si="1"/>
        <v>4469.7788598937668</v>
      </c>
      <c r="U9" s="497">
        <f t="shared" si="1"/>
        <v>4523.4162062124924</v>
      </c>
      <c r="V9" s="497">
        <f>U9+U9*1.2%</f>
        <v>4577.6972006870419</v>
      </c>
      <c r="W9" s="497">
        <f t="shared" si="1"/>
        <v>4632.6295670952868</v>
      </c>
      <c r="X9" s="497">
        <f t="shared" si="1"/>
        <v>4688.2211219004303</v>
      </c>
    </row>
    <row r="12" spans="1:24">
      <c r="A12" s="1078" t="s">
        <v>358</v>
      </c>
      <c r="B12" s="1078"/>
      <c r="C12" s="1078"/>
      <c r="D12" s="1078"/>
      <c r="E12" s="1078"/>
    </row>
    <row r="13" spans="1:24">
      <c r="A13" s="83" t="s">
        <v>117</v>
      </c>
      <c r="B13" s="83" t="s">
        <v>198</v>
      </c>
      <c r="C13" s="84" t="s">
        <v>195</v>
      </c>
      <c r="D13" s="84" t="s">
        <v>196</v>
      </c>
      <c r="E13" s="83" t="s">
        <v>197</v>
      </c>
    </row>
    <row r="14" spans="1:24">
      <c r="A14" s="81">
        <v>1</v>
      </c>
      <c r="B14" s="498" t="s">
        <v>87</v>
      </c>
      <c r="C14" s="82">
        <v>137237</v>
      </c>
      <c r="D14" s="85">
        <v>350000</v>
      </c>
      <c r="E14" s="499">
        <f>D14*C14/10^7</f>
        <v>4803.2950000000001</v>
      </c>
    </row>
    <row r="15" spans="1:24">
      <c r="A15" s="86"/>
      <c r="B15" s="87" t="s">
        <v>194</v>
      </c>
      <c r="C15" s="88"/>
      <c r="D15" s="88"/>
      <c r="E15" s="500">
        <f>SUM(E14:E14)</f>
        <v>4803.2950000000001</v>
      </c>
    </row>
    <row r="16" spans="1:24">
      <c r="A16" s="1078" t="s">
        <v>359</v>
      </c>
      <c r="B16" s="1078"/>
      <c r="C16" s="1078"/>
      <c r="D16" s="1078"/>
      <c r="E16" s="1078"/>
    </row>
    <row r="17" spans="1:5">
      <c r="A17" s="83" t="s">
        <v>117</v>
      </c>
      <c r="B17" s="83" t="s">
        <v>198</v>
      </c>
      <c r="C17" s="84" t="s">
        <v>195</v>
      </c>
      <c r="D17" s="84" t="s">
        <v>196</v>
      </c>
      <c r="E17" s="83" t="s">
        <v>197</v>
      </c>
    </row>
    <row r="18" spans="1:5">
      <c r="A18" s="81">
        <v>1</v>
      </c>
      <c r="B18" s="498" t="s">
        <v>87</v>
      </c>
      <c r="C18" s="82">
        <f>'Financial Model High Propane'!CM57</f>
        <v>74749.509166666656</v>
      </c>
      <c r="D18" s="85">
        <v>500000</v>
      </c>
      <c r="E18" s="499">
        <f>D18*C18/10^7</f>
        <v>3737.4754583333329</v>
      </c>
    </row>
    <row r="19" spans="1:5">
      <c r="A19" s="86"/>
      <c r="B19" s="87" t="s">
        <v>194</v>
      </c>
      <c r="C19" s="88"/>
      <c r="D19" s="88"/>
      <c r="E19" s="501">
        <f>SUM(E18:E18)</f>
        <v>3737.4754583333329</v>
      </c>
    </row>
  </sheetData>
  <mergeCells count="5">
    <mergeCell ref="A1:E1"/>
    <mergeCell ref="A6:E6"/>
    <mergeCell ref="A2:E2"/>
    <mergeCell ref="A12:E12"/>
    <mergeCell ref="A16:E16"/>
  </mergeCells>
  <pageMargins left="0.7" right="0.7" top="0.75" bottom="0.75" header="0.3" footer="0.3"/>
  <pageSetup scale="51"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643DE-1E73-4E9A-827D-AD32D80B3E64}">
  <sheetPr codeName="Sheet8"/>
  <dimension ref="A1:L52"/>
  <sheetViews>
    <sheetView showGridLines="0" workbookViewId="0">
      <selection activeCell="F27" sqref="F27"/>
    </sheetView>
  </sheetViews>
  <sheetFormatPr defaultRowHeight="15"/>
  <cols>
    <col min="1" max="1" width="18.140625" customWidth="1"/>
    <col min="2" max="2" width="54" bestFit="1" customWidth="1"/>
    <col min="3" max="3" width="26.5703125" customWidth="1"/>
    <col min="4" max="4" width="18.140625" bestFit="1" customWidth="1"/>
    <col min="5" max="5" width="12" customWidth="1"/>
    <col min="6" max="6" width="88" customWidth="1"/>
    <col min="7" max="7" width="16.7109375" customWidth="1"/>
    <col min="8" max="8" width="17" bestFit="1" customWidth="1"/>
    <col min="10" max="10" width="34.5703125" customWidth="1"/>
    <col min="11" max="11" width="19.85546875" customWidth="1"/>
    <col min="12" max="12" width="34.85546875" customWidth="1"/>
  </cols>
  <sheetData>
    <row r="1" spans="1:12" ht="19.5" customHeight="1">
      <c r="A1" s="1079" t="s">
        <v>496</v>
      </c>
      <c r="B1" s="1080"/>
      <c r="C1" s="1080"/>
      <c r="D1" s="1081"/>
      <c r="E1" s="1079" t="s">
        <v>551</v>
      </c>
      <c r="F1" s="1080"/>
      <c r="G1" s="1080"/>
      <c r="H1" s="1081"/>
      <c r="I1" s="1079" t="s">
        <v>552</v>
      </c>
      <c r="J1" s="1080"/>
      <c r="K1" s="1080"/>
      <c r="L1" s="1081"/>
    </row>
    <row r="2" spans="1:12" ht="36.75" customHeight="1">
      <c r="A2" s="12"/>
      <c r="B2" s="13"/>
      <c r="C2" s="14"/>
      <c r="D2" s="44" t="s">
        <v>118</v>
      </c>
      <c r="E2" s="12"/>
      <c r="F2" s="13"/>
      <c r="G2" s="14"/>
      <c r="H2" s="44" t="s">
        <v>118</v>
      </c>
      <c r="I2" s="12"/>
      <c r="J2" s="13"/>
      <c r="K2" s="14"/>
      <c r="L2" s="44" t="s">
        <v>118</v>
      </c>
    </row>
    <row r="3" spans="1:12" ht="34.5" customHeight="1">
      <c r="A3" s="15" t="s">
        <v>53</v>
      </c>
      <c r="B3" s="16" t="s">
        <v>54</v>
      </c>
      <c r="C3" s="16" t="s">
        <v>88</v>
      </c>
      <c r="D3" s="164">
        <f>D4+D12</f>
        <v>4058.0986526080001</v>
      </c>
      <c r="E3" s="15" t="s">
        <v>53</v>
      </c>
      <c r="F3" s="16" t="s">
        <v>54</v>
      </c>
      <c r="G3" s="16" t="s">
        <v>88</v>
      </c>
      <c r="H3" s="45">
        <f>H4+H12</f>
        <v>4442.4986686079992</v>
      </c>
      <c r="I3" s="15" t="s">
        <v>53</v>
      </c>
      <c r="J3" s="16" t="s">
        <v>54</v>
      </c>
      <c r="K3" s="16" t="s">
        <v>88</v>
      </c>
      <c r="L3" s="45">
        <f>L4+L12</f>
        <v>2415</v>
      </c>
    </row>
    <row r="4" spans="1:12" ht="28.5" customHeight="1">
      <c r="A4" s="7" t="s">
        <v>55</v>
      </c>
      <c r="B4" s="4" t="s">
        <v>56</v>
      </c>
      <c r="C4" s="4"/>
      <c r="D4" s="79">
        <f>SUM(D5:D11)</f>
        <v>3004.047054528</v>
      </c>
      <c r="E4" s="7" t="s">
        <v>55</v>
      </c>
      <c r="F4" s="4" t="s">
        <v>56</v>
      </c>
      <c r="G4" s="4"/>
      <c r="H4" s="46">
        <f>SUM(H5:H11)</f>
        <v>3288.6029105279995</v>
      </c>
      <c r="I4" s="7" t="s">
        <v>55</v>
      </c>
      <c r="J4" s="4" t="s">
        <v>56</v>
      </c>
      <c r="K4" s="4"/>
      <c r="L4" s="46">
        <f>SUM(L5:L11)</f>
        <v>1852.5</v>
      </c>
    </row>
    <row r="5" spans="1:12" ht="38.25">
      <c r="A5" s="8">
        <v>1</v>
      </c>
      <c r="B5" s="5" t="s">
        <v>139</v>
      </c>
      <c r="C5" s="6">
        <v>1</v>
      </c>
      <c r="D5" s="47">
        <f>D39</f>
        <v>2027.0223040000001</v>
      </c>
      <c r="E5" s="8">
        <v>1</v>
      </c>
      <c r="F5" s="5" t="s">
        <v>356</v>
      </c>
      <c r="G5" s="6">
        <v>1</v>
      </c>
      <c r="H5" s="47">
        <f>H39</f>
        <v>2219.0303039999999</v>
      </c>
      <c r="I5" s="8">
        <v>1</v>
      </c>
      <c r="J5" s="5" t="s">
        <v>356</v>
      </c>
      <c r="K5" s="6">
        <v>1</v>
      </c>
      <c r="L5" s="47">
        <v>1250</v>
      </c>
    </row>
    <row r="6" spans="1:12" ht="26.25" customHeight="1">
      <c r="A6" s="8">
        <v>2</v>
      </c>
      <c r="B6" s="5" t="s">
        <v>57</v>
      </c>
      <c r="C6" s="6">
        <v>0.2</v>
      </c>
      <c r="D6" s="48">
        <f t="shared" ref="D6:D11" si="0">$D$5*C6</f>
        <v>405.40446080000004</v>
      </c>
      <c r="E6" s="8">
        <v>2</v>
      </c>
      <c r="F6" s="5" t="s">
        <v>57</v>
      </c>
      <c r="G6" s="6">
        <v>0.2</v>
      </c>
      <c r="H6" s="48">
        <f t="shared" ref="H6:H11" si="1">$H$5*G6</f>
        <v>443.80606080000001</v>
      </c>
      <c r="I6" s="8">
        <v>2</v>
      </c>
      <c r="J6" s="5" t="s">
        <v>57</v>
      </c>
      <c r="K6" s="6">
        <v>0.2</v>
      </c>
      <c r="L6" s="48">
        <f>$L$5*K6</f>
        <v>250</v>
      </c>
    </row>
    <row r="7" spans="1:12">
      <c r="A7" s="8">
        <v>3</v>
      </c>
      <c r="B7" s="5" t="s">
        <v>58</v>
      </c>
      <c r="C7" s="6">
        <v>0.18</v>
      </c>
      <c r="D7" s="48">
        <f t="shared" si="0"/>
        <v>364.86401472</v>
      </c>
      <c r="E7" s="8">
        <v>3</v>
      </c>
      <c r="F7" s="5" t="s">
        <v>58</v>
      </c>
      <c r="G7" s="6">
        <v>0.18</v>
      </c>
      <c r="H7" s="48">
        <f t="shared" si="1"/>
        <v>399.42545471999995</v>
      </c>
      <c r="I7" s="8">
        <v>3</v>
      </c>
      <c r="J7" s="5" t="s">
        <v>58</v>
      </c>
      <c r="K7" s="6">
        <v>0.18</v>
      </c>
      <c r="L7" s="48">
        <f t="shared" ref="L7:L11" si="2">$L$5*K7</f>
        <v>225</v>
      </c>
    </row>
    <row r="8" spans="1:12">
      <c r="A8" s="8">
        <v>4</v>
      </c>
      <c r="B8" s="5" t="s">
        <v>59</v>
      </c>
      <c r="C8" s="6">
        <v>0.02</v>
      </c>
      <c r="D8" s="48">
        <f t="shared" si="0"/>
        <v>40.540446080000002</v>
      </c>
      <c r="E8" s="8">
        <v>4</v>
      </c>
      <c r="F8" s="5" t="s">
        <v>59</v>
      </c>
      <c r="G8" s="6">
        <v>0.02</v>
      </c>
      <c r="H8" s="48">
        <f t="shared" si="1"/>
        <v>44.38060608</v>
      </c>
      <c r="I8" s="8">
        <v>4</v>
      </c>
      <c r="J8" s="5" t="s">
        <v>59</v>
      </c>
      <c r="K8" s="6">
        <v>0.02</v>
      </c>
      <c r="L8" s="48">
        <f t="shared" si="2"/>
        <v>25</v>
      </c>
    </row>
    <row r="9" spans="1:12">
      <c r="A9" s="8">
        <v>5</v>
      </c>
      <c r="B9" s="5" t="s">
        <v>60</v>
      </c>
      <c r="C9" s="6">
        <v>0.01</v>
      </c>
      <c r="D9" s="48">
        <f t="shared" si="0"/>
        <v>20.270223040000001</v>
      </c>
      <c r="E9" s="8">
        <v>5</v>
      </c>
      <c r="F9" s="5" t="s">
        <v>60</v>
      </c>
      <c r="G9" s="6">
        <v>0.01</v>
      </c>
      <c r="H9" s="48">
        <f t="shared" si="1"/>
        <v>22.19030304</v>
      </c>
      <c r="I9" s="8">
        <v>5</v>
      </c>
      <c r="J9" s="5" t="s">
        <v>60</v>
      </c>
      <c r="K9" s="6">
        <v>0.01</v>
      </c>
      <c r="L9" s="48">
        <f t="shared" si="2"/>
        <v>12.5</v>
      </c>
    </row>
    <row r="10" spans="1:12">
      <c r="A10" s="8">
        <v>6</v>
      </c>
      <c r="B10" s="5" t="s">
        <v>61</v>
      </c>
      <c r="C10" s="6">
        <v>2.1999999999999999E-2</v>
      </c>
      <c r="D10" s="48">
        <f t="shared" si="0"/>
        <v>44.594490688</v>
      </c>
      <c r="E10" s="8">
        <v>6</v>
      </c>
      <c r="F10" s="5" t="s">
        <v>61</v>
      </c>
      <c r="G10" s="6">
        <v>2.1999999999999999E-2</v>
      </c>
      <c r="H10" s="48">
        <f t="shared" si="1"/>
        <v>48.818666687999993</v>
      </c>
      <c r="I10" s="8">
        <v>6</v>
      </c>
      <c r="J10" s="5" t="s">
        <v>61</v>
      </c>
      <c r="K10" s="6">
        <v>2.1999999999999999E-2</v>
      </c>
      <c r="L10" s="48">
        <f t="shared" si="2"/>
        <v>27.5</v>
      </c>
    </row>
    <row r="11" spans="1:12">
      <c r="A11" s="8">
        <v>7</v>
      </c>
      <c r="B11" s="5" t="s">
        <v>62</v>
      </c>
      <c r="C11" s="6">
        <v>0.05</v>
      </c>
      <c r="D11" s="48">
        <f t="shared" si="0"/>
        <v>101.35111520000001</v>
      </c>
      <c r="E11" s="8">
        <v>7</v>
      </c>
      <c r="F11" s="5" t="s">
        <v>62</v>
      </c>
      <c r="G11" s="6">
        <v>0.05</v>
      </c>
      <c r="H11" s="48">
        <f t="shared" si="1"/>
        <v>110.9515152</v>
      </c>
      <c r="I11" s="8">
        <v>7</v>
      </c>
      <c r="J11" s="5" t="s">
        <v>62</v>
      </c>
      <c r="K11" s="6">
        <v>0.05</v>
      </c>
      <c r="L11" s="48">
        <f t="shared" si="2"/>
        <v>62.5</v>
      </c>
    </row>
    <row r="12" spans="1:12" ht="28.5" customHeight="1">
      <c r="A12" s="8" t="s">
        <v>63</v>
      </c>
      <c r="B12" s="4" t="s">
        <v>64</v>
      </c>
      <c r="C12" s="4"/>
      <c r="D12" s="79">
        <f>SUM(D13:D17)</f>
        <v>1054.0515980800001</v>
      </c>
      <c r="E12" s="8" t="s">
        <v>63</v>
      </c>
      <c r="F12" s="4" t="s">
        <v>64</v>
      </c>
      <c r="G12" s="4"/>
      <c r="H12" s="79">
        <f>SUM(H13:H17)</f>
        <v>1153.89575808</v>
      </c>
      <c r="I12" s="8" t="s">
        <v>63</v>
      </c>
      <c r="J12" s="4" t="s">
        <v>64</v>
      </c>
      <c r="K12" s="4"/>
      <c r="L12" s="79">
        <f>SUM(L13:L17)</f>
        <v>562.5</v>
      </c>
    </row>
    <row r="13" spans="1:12">
      <c r="A13" s="8">
        <v>8</v>
      </c>
      <c r="B13" s="5" t="s">
        <v>65</v>
      </c>
      <c r="C13" s="6">
        <v>0.1</v>
      </c>
      <c r="D13" s="48">
        <f>$D$5*C13</f>
        <v>202.70223040000002</v>
      </c>
      <c r="E13" s="8">
        <v>8</v>
      </c>
      <c r="F13" s="5" t="s">
        <v>65</v>
      </c>
      <c r="G13" s="6">
        <v>0.1</v>
      </c>
      <c r="H13" s="48">
        <f>$H$5*G13</f>
        <v>221.90303040000001</v>
      </c>
      <c r="I13" s="8">
        <v>8</v>
      </c>
      <c r="J13" s="5" t="s">
        <v>65</v>
      </c>
      <c r="K13" s="6">
        <v>0.1</v>
      </c>
      <c r="L13" s="48">
        <f>$L$5*K13</f>
        <v>125</v>
      </c>
    </row>
    <row r="14" spans="1:12">
      <c r="A14" s="8">
        <v>9</v>
      </c>
      <c r="B14" s="5" t="s">
        <v>66</v>
      </c>
      <c r="C14" s="6">
        <v>0.25</v>
      </c>
      <c r="D14" s="48">
        <f t="shared" ref="D14:D19" si="3">$D$5*C14</f>
        <v>506.75557600000002</v>
      </c>
      <c r="E14" s="8">
        <v>9</v>
      </c>
      <c r="F14" s="5" t="s">
        <v>66</v>
      </c>
      <c r="G14" s="6">
        <v>0.25</v>
      </c>
      <c r="H14" s="48">
        <f>$H$5*G14</f>
        <v>554.75757599999997</v>
      </c>
      <c r="I14" s="8">
        <v>9</v>
      </c>
      <c r="J14" s="5" t="s">
        <v>66</v>
      </c>
      <c r="K14" s="6">
        <v>0.18</v>
      </c>
      <c r="L14" s="48">
        <f t="shared" ref="L14:L17" si="4">$L$5*K14</f>
        <v>225</v>
      </c>
    </row>
    <row r="15" spans="1:12">
      <c r="A15" s="8">
        <v>10</v>
      </c>
      <c r="B15" s="5" t="s">
        <v>67</v>
      </c>
      <c r="C15" s="6">
        <v>0.02</v>
      </c>
      <c r="D15" s="48">
        <f t="shared" si="3"/>
        <v>40.540446080000002</v>
      </c>
      <c r="E15" s="8">
        <v>10</v>
      </c>
      <c r="F15" s="5" t="s">
        <v>67</v>
      </c>
      <c r="G15" s="6">
        <v>0.02</v>
      </c>
      <c r="H15" s="48">
        <f>$H$5*G15</f>
        <v>44.38060608</v>
      </c>
      <c r="I15" s="8">
        <v>10</v>
      </c>
      <c r="J15" s="5" t="s">
        <v>67</v>
      </c>
      <c r="K15" s="6">
        <v>0.02</v>
      </c>
      <c r="L15" s="48">
        <f t="shared" si="4"/>
        <v>25</v>
      </c>
    </row>
    <row r="16" spans="1:12">
      <c r="A16" s="8">
        <v>11</v>
      </c>
      <c r="B16" s="5" t="s">
        <v>68</v>
      </c>
      <c r="C16" s="6">
        <v>0.1</v>
      </c>
      <c r="D16" s="48">
        <f t="shared" si="3"/>
        <v>202.70223040000002</v>
      </c>
      <c r="E16" s="8">
        <v>11</v>
      </c>
      <c r="F16" s="5" t="s">
        <v>68</v>
      </c>
      <c r="G16" s="6">
        <v>0.1</v>
      </c>
      <c r="H16" s="48">
        <f>$H$5*G16</f>
        <v>221.90303040000001</v>
      </c>
      <c r="I16" s="8">
        <v>11</v>
      </c>
      <c r="J16" s="5" t="s">
        <v>68</v>
      </c>
      <c r="K16" s="6">
        <v>0.1</v>
      </c>
      <c r="L16" s="48">
        <f t="shared" si="4"/>
        <v>125</v>
      </c>
    </row>
    <row r="17" spans="1:12">
      <c r="A17" s="8">
        <v>12</v>
      </c>
      <c r="B17" s="5" t="s">
        <v>69</v>
      </c>
      <c r="C17" s="11">
        <v>0.05</v>
      </c>
      <c r="D17" s="48">
        <f t="shared" si="3"/>
        <v>101.35111520000001</v>
      </c>
      <c r="E17" s="8">
        <v>12</v>
      </c>
      <c r="F17" s="5" t="s">
        <v>69</v>
      </c>
      <c r="G17" s="11">
        <v>0.05</v>
      </c>
      <c r="H17" s="48">
        <f>$H$5*G17</f>
        <v>110.9515152</v>
      </c>
      <c r="I17" s="8">
        <v>12</v>
      </c>
      <c r="J17" s="5" t="s">
        <v>69</v>
      </c>
      <c r="K17" s="11">
        <v>0.05</v>
      </c>
      <c r="L17" s="48">
        <f t="shared" si="4"/>
        <v>62.5</v>
      </c>
    </row>
    <row r="18" spans="1:12">
      <c r="A18" s="7" t="s">
        <v>70</v>
      </c>
      <c r="B18" s="4" t="s">
        <v>71</v>
      </c>
      <c r="C18" s="4"/>
      <c r="D18" s="79">
        <f>SUM(D19)</f>
        <v>101.35111520000001</v>
      </c>
      <c r="E18" s="7" t="s">
        <v>70</v>
      </c>
      <c r="F18" s="4" t="s">
        <v>71</v>
      </c>
      <c r="G18" s="4"/>
      <c r="H18" s="79">
        <f>SUM(H19)</f>
        <v>110.9515152</v>
      </c>
      <c r="I18" s="7" t="s">
        <v>70</v>
      </c>
      <c r="J18" s="4" t="s">
        <v>71</v>
      </c>
      <c r="K18" s="4"/>
      <c r="L18" s="79">
        <f>SUM(L19)</f>
        <v>62.5</v>
      </c>
    </row>
    <row r="19" spans="1:12" ht="18" customHeight="1">
      <c r="A19" s="8">
        <v>13</v>
      </c>
      <c r="B19" s="5" t="s">
        <v>72</v>
      </c>
      <c r="C19" s="6">
        <v>0.05</v>
      </c>
      <c r="D19" s="48">
        <f t="shared" si="3"/>
        <v>101.35111520000001</v>
      </c>
      <c r="E19" s="8">
        <v>13</v>
      </c>
      <c r="F19" s="5" t="s">
        <v>72</v>
      </c>
      <c r="G19" s="6">
        <v>0.05</v>
      </c>
      <c r="H19" s="48">
        <f>$H$5*G19</f>
        <v>110.9515152</v>
      </c>
      <c r="I19" s="8">
        <v>13</v>
      </c>
      <c r="J19" s="5" t="s">
        <v>72</v>
      </c>
      <c r="K19" s="6">
        <v>0.05</v>
      </c>
      <c r="L19" s="48">
        <f>$L$5*K19</f>
        <v>62.5</v>
      </c>
    </row>
    <row r="20" spans="1:12" ht="30" customHeight="1">
      <c r="A20" s="8"/>
      <c r="B20" s="5"/>
      <c r="C20" s="6"/>
      <c r="D20" s="48"/>
      <c r="E20" s="8">
        <v>14</v>
      </c>
      <c r="F20" s="5" t="s">
        <v>389</v>
      </c>
      <c r="G20" s="6"/>
      <c r="H20" s="48">
        <v>1500</v>
      </c>
      <c r="I20" s="8">
        <v>14</v>
      </c>
      <c r="J20" s="5" t="s">
        <v>493</v>
      </c>
      <c r="K20" s="6"/>
      <c r="L20" s="48">
        <v>1950</v>
      </c>
    </row>
    <row r="21" spans="1:12">
      <c r="A21" s="9"/>
      <c r="B21" s="10" t="s">
        <v>73</v>
      </c>
      <c r="C21" s="10" t="s">
        <v>89</v>
      </c>
      <c r="D21" s="232">
        <f>D3+D18</f>
        <v>4159.4497678079997</v>
      </c>
      <c r="E21" s="9"/>
      <c r="F21" s="10" t="s">
        <v>73</v>
      </c>
      <c r="G21" s="10" t="s">
        <v>89</v>
      </c>
      <c r="H21" s="232">
        <f>H3+H18+H20</f>
        <v>6053.4501838079996</v>
      </c>
      <c r="I21" s="9"/>
      <c r="J21" s="10" t="s">
        <v>73</v>
      </c>
      <c r="K21" s="10" t="s">
        <v>89</v>
      </c>
      <c r="L21" s="232">
        <f>L3+L18+L20</f>
        <v>4427.5</v>
      </c>
    </row>
    <row r="23" spans="1:12">
      <c r="D23" s="106"/>
      <c r="H23" s="105"/>
    </row>
    <row r="24" spans="1:12">
      <c r="A24" s="151" t="s">
        <v>117</v>
      </c>
      <c r="B24" s="151" t="s">
        <v>355</v>
      </c>
      <c r="C24" s="151" t="s">
        <v>116</v>
      </c>
      <c r="D24" s="151" t="s">
        <v>118</v>
      </c>
      <c r="E24" s="151" t="s">
        <v>117</v>
      </c>
      <c r="F24" s="151" t="str">
        <f>E1</f>
        <v>Capacity for 500 KTPA PVC Plant (350 KTPA from captive Ethylene and 150 KTPA EDC / VCM Outsourced)</v>
      </c>
      <c r="G24" s="151" t="s">
        <v>116</v>
      </c>
      <c r="H24" s="151" t="s">
        <v>118</v>
      </c>
    </row>
    <row r="25" spans="1:12">
      <c r="A25" s="2">
        <v>1</v>
      </c>
      <c r="B25" s="1" t="s">
        <v>456</v>
      </c>
      <c r="C25" s="58">
        <v>9</v>
      </c>
      <c r="D25" s="33">
        <v>630</v>
      </c>
      <c r="E25" s="52">
        <v>1</v>
      </c>
      <c r="F25" s="1" t="s">
        <v>456</v>
      </c>
      <c r="G25" s="58">
        <v>9</v>
      </c>
      <c r="H25" s="33">
        <v>650</v>
      </c>
    </row>
    <row r="26" spans="1:12">
      <c r="A26" s="2">
        <v>2</v>
      </c>
      <c r="B26" s="1" t="s">
        <v>121</v>
      </c>
      <c r="C26" s="58">
        <v>6</v>
      </c>
      <c r="D26" s="33">
        <v>340</v>
      </c>
      <c r="E26" s="52">
        <v>2</v>
      </c>
      <c r="F26" s="1" t="s">
        <v>121</v>
      </c>
      <c r="G26" s="58">
        <v>6</v>
      </c>
      <c r="H26" s="33">
        <v>330</v>
      </c>
    </row>
    <row r="27" spans="1:12">
      <c r="A27" s="2">
        <v>3</v>
      </c>
      <c r="B27" s="1" t="s">
        <v>120</v>
      </c>
      <c r="C27" s="58">
        <v>4</v>
      </c>
      <c r="D27" s="33">
        <v>210</v>
      </c>
      <c r="E27" s="52">
        <v>3</v>
      </c>
      <c r="F27" s="1" t="s">
        <v>120</v>
      </c>
      <c r="G27" s="58">
        <v>4</v>
      </c>
      <c r="H27" s="33">
        <v>230</v>
      </c>
    </row>
    <row r="28" spans="1:12">
      <c r="A28" s="2">
        <v>4</v>
      </c>
      <c r="B28" s="1" t="s">
        <v>119</v>
      </c>
      <c r="C28" s="58">
        <v>1</v>
      </c>
      <c r="D28" s="33">
        <v>117.8</v>
      </c>
      <c r="E28" s="52">
        <v>4</v>
      </c>
      <c r="F28" s="1" t="s">
        <v>119</v>
      </c>
      <c r="G28" s="58">
        <v>1</v>
      </c>
      <c r="H28" s="33">
        <v>210</v>
      </c>
    </row>
    <row r="29" spans="1:12">
      <c r="A29" s="2">
        <v>5</v>
      </c>
      <c r="B29" s="1" t="s">
        <v>113</v>
      </c>
      <c r="C29" s="58">
        <v>1</v>
      </c>
      <c r="D29" s="33">
        <v>60.191999999999993</v>
      </c>
      <c r="E29" s="52">
        <v>5</v>
      </c>
      <c r="F29" s="1" t="s">
        <v>113</v>
      </c>
      <c r="G29" s="58">
        <v>1</v>
      </c>
      <c r="H29" s="33">
        <v>70</v>
      </c>
    </row>
    <row r="30" spans="1:12">
      <c r="A30" s="2">
        <v>6</v>
      </c>
      <c r="B30" s="1" t="s">
        <v>114</v>
      </c>
      <c r="C30" s="58">
        <v>1</v>
      </c>
      <c r="D30" s="33">
        <v>31.92</v>
      </c>
      <c r="E30" s="52">
        <v>6</v>
      </c>
      <c r="F30" s="1" t="s">
        <v>114</v>
      </c>
      <c r="G30" s="58">
        <v>1</v>
      </c>
      <c r="H30" s="33">
        <v>31.92</v>
      </c>
    </row>
    <row r="31" spans="1:12">
      <c r="A31" s="2">
        <v>7</v>
      </c>
      <c r="B31" s="1" t="s">
        <v>112</v>
      </c>
      <c r="C31" s="58">
        <v>7</v>
      </c>
      <c r="D31" s="33">
        <v>21.001536000000002</v>
      </c>
      <c r="E31" s="52">
        <v>7</v>
      </c>
      <c r="F31" s="1" t="s">
        <v>112</v>
      </c>
      <c r="G31" s="58">
        <v>7</v>
      </c>
      <c r="H31" s="33">
        <v>21.001536000000002</v>
      </c>
    </row>
    <row r="32" spans="1:12">
      <c r="A32" s="2">
        <v>8</v>
      </c>
      <c r="B32" s="1" t="s">
        <v>257</v>
      </c>
      <c r="C32" s="58">
        <v>1</v>
      </c>
      <c r="D32" s="33">
        <v>12.804479999999998</v>
      </c>
      <c r="E32" s="52">
        <v>8</v>
      </c>
      <c r="F32" s="1" t="s">
        <v>257</v>
      </c>
      <c r="G32" s="58">
        <v>1</v>
      </c>
      <c r="H32" s="33">
        <v>12.804479999999998</v>
      </c>
    </row>
    <row r="33" spans="1:8">
      <c r="A33" s="2">
        <v>9</v>
      </c>
      <c r="B33" s="1" t="s">
        <v>111</v>
      </c>
      <c r="C33" s="58">
        <v>4</v>
      </c>
      <c r="D33" s="33">
        <v>9.4610880000000019</v>
      </c>
      <c r="E33" s="52">
        <v>9</v>
      </c>
      <c r="F33" s="1" t="s">
        <v>111</v>
      </c>
      <c r="G33" s="58">
        <v>4</v>
      </c>
      <c r="H33" s="33">
        <v>9.4610880000000019</v>
      </c>
    </row>
    <row r="34" spans="1:8">
      <c r="A34" s="2">
        <v>10</v>
      </c>
      <c r="B34" s="1" t="s">
        <v>115</v>
      </c>
      <c r="C34" s="58">
        <v>1</v>
      </c>
      <c r="D34" s="33">
        <v>7.8431999999999995</v>
      </c>
      <c r="E34" s="52">
        <v>10</v>
      </c>
      <c r="F34" s="1" t="s">
        <v>115</v>
      </c>
      <c r="G34" s="58">
        <v>1</v>
      </c>
      <c r="H34" s="33">
        <v>7.8431999999999995</v>
      </c>
    </row>
    <row r="35" spans="1:8">
      <c r="A35" s="2">
        <v>12</v>
      </c>
      <c r="B35" s="1" t="s">
        <v>411</v>
      </c>
      <c r="C35" s="58"/>
      <c r="D35" s="33">
        <v>450</v>
      </c>
      <c r="E35" s="52">
        <v>11</v>
      </c>
      <c r="F35" s="1" t="s">
        <v>411</v>
      </c>
      <c r="G35" s="58"/>
      <c r="H35" s="33">
        <v>475</v>
      </c>
    </row>
    <row r="36" spans="1:8">
      <c r="A36" s="2">
        <v>13</v>
      </c>
      <c r="B36" s="1" t="s">
        <v>388</v>
      </c>
      <c r="C36" s="58"/>
      <c r="D36" s="33">
        <v>20</v>
      </c>
      <c r="E36" s="52">
        <v>12</v>
      </c>
      <c r="F36" s="1" t="s">
        <v>357</v>
      </c>
      <c r="G36" s="58"/>
      <c r="H36" s="33">
        <v>25</v>
      </c>
    </row>
    <row r="37" spans="1:8">
      <c r="A37" s="2">
        <v>14</v>
      </c>
      <c r="B37" s="1" t="s">
        <v>360</v>
      </c>
      <c r="C37" s="58"/>
      <c r="D37" s="33">
        <v>21</v>
      </c>
      <c r="E37" s="52">
        <v>13</v>
      </c>
      <c r="F37" s="1" t="s">
        <v>360</v>
      </c>
      <c r="G37" s="58"/>
      <c r="H37" s="33">
        <v>21</v>
      </c>
    </row>
    <row r="38" spans="1:8" ht="26.25">
      <c r="A38" s="2">
        <v>15</v>
      </c>
      <c r="B38" s="163" t="s">
        <v>412</v>
      </c>
      <c r="C38" s="58"/>
      <c r="D38" s="165">
        <v>95</v>
      </c>
      <c r="E38" s="52">
        <v>14</v>
      </c>
      <c r="F38" s="314" t="s">
        <v>457</v>
      </c>
      <c r="G38" s="17"/>
      <c r="H38" s="165">
        <v>125</v>
      </c>
    </row>
    <row r="39" spans="1:8" ht="33" customHeight="1">
      <c r="A39" s="340"/>
      <c r="B39" s="188" t="s">
        <v>151</v>
      </c>
      <c r="C39" s="341"/>
      <c r="D39" s="342">
        <f>SUM(D25:D38)</f>
        <v>2027.0223040000001</v>
      </c>
      <c r="E39" s="340"/>
      <c r="F39" s="188" t="s">
        <v>151</v>
      </c>
      <c r="G39" s="341"/>
      <c r="H39" s="342">
        <f>SUM(H25:H38)</f>
        <v>2219.0303039999999</v>
      </c>
    </row>
    <row r="42" spans="1:8">
      <c r="E42" s="58"/>
      <c r="F42" s="1"/>
      <c r="G42" s="58"/>
    </row>
    <row r="43" spans="1:8">
      <c r="A43" s="1083" t="s">
        <v>251</v>
      </c>
      <c r="B43" s="115" t="s">
        <v>252</v>
      </c>
      <c r="C43" s="115" t="s">
        <v>254</v>
      </c>
      <c r="D43" s="116" t="s">
        <v>253</v>
      </c>
      <c r="E43" s="58"/>
      <c r="F43" s="1"/>
      <c r="G43" s="58"/>
      <c r="H43" s="32"/>
    </row>
    <row r="44" spans="1:8">
      <c r="A44" s="1084"/>
      <c r="B44" s="112" t="s">
        <v>238</v>
      </c>
      <c r="C44" s="113">
        <f>D44*C$46</f>
        <v>1378.3751667200002</v>
      </c>
      <c r="D44" s="114">
        <v>0.68</v>
      </c>
      <c r="E44" s="58"/>
      <c r="F44" s="1"/>
      <c r="G44" s="58"/>
      <c r="H44" s="32"/>
    </row>
    <row r="45" spans="1:8">
      <c r="A45" s="1084"/>
      <c r="B45" s="112" t="s">
        <v>239</v>
      </c>
      <c r="C45" s="113">
        <f>D45*C$46</f>
        <v>648.64713728000004</v>
      </c>
      <c r="D45" s="114">
        <v>0.32</v>
      </c>
      <c r="E45" s="58"/>
      <c r="F45" s="1"/>
      <c r="G45" s="58"/>
      <c r="H45" s="32"/>
    </row>
    <row r="46" spans="1:8">
      <c r="A46" s="1085"/>
      <c r="B46" s="117"/>
      <c r="C46" s="118">
        <f>D39</f>
        <v>2027.0223040000001</v>
      </c>
      <c r="D46" s="117"/>
      <c r="E46" s="58"/>
      <c r="F46" s="1"/>
      <c r="G46" s="58"/>
      <c r="H46" s="32"/>
    </row>
    <row r="47" spans="1:8">
      <c r="E47" s="107"/>
      <c r="F47" s="107"/>
    </row>
    <row r="48" spans="1:8" ht="34.5" customHeight="1">
      <c r="A48" s="1082" t="s">
        <v>413</v>
      </c>
      <c r="B48" s="1082"/>
      <c r="C48" s="1082"/>
      <c r="D48" s="1082"/>
      <c r="E48" s="292"/>
      <c r="F48" s="292"/>
    </row>
    <row r="49" spans="1:4" ht="27" customHeight="1">
      <c r="A49" s="1082" t="s">
        <v>414</v>
      </c>
      <c r="B49" s="1082"/>
      <c r="C49" s="1082"/>
      <c r="D49" s="1082"/>
    </row>
    <row r="50" spans="1:4" ht="30.75" customHeight="1">
      <c r="A50" s="1082" t="s">
        <v>415</v>
      </c>
      <c r="B50" s="1082"/>
      <c r="C50" s="1082"/>
      <c r="D50" s="1082"/>
    </row>
    <row r="51" spans="1:4" ht="37.5" customHeight="1">
      <c r="A51" s="1082" t="s">
        <v>417</v>
      </c>
      <c r="B51" s="1082"/>
      <c r="C51" s="1082"/>
      <c r="D51" s="1082"/>
    </row>
    <row r="52" spans="1:4" ht="41.25" customHeight="1">
      <c r="A52" s="1082" t="s">
        <v>416</v>
      </c>
      <c r="B52" s="1082"/>
      <c r="C52" s="1082"/>
      <c r="D52" s="1082"/>
    </row>
  </sheetData>
  <sortState xmlns:xlrd2="http://schemas.microsoft.com/office/spreadsheetml/2017/richdata2" ref="B25:D34">
    <sortCondition descending="1" ref="D25:D34"/>
  </sortState>
  <mergeCells count="9">
    <mergeCell ref="I1:L1"/>
    <mergeCell ref="A51:D51"/>
    <mergeCell ref="A52:D52"/>
    <mergeCell ref="A1:D1"/>
    <mergeCell ref="A43:A46"/>
    <mergeCell ref="E1:H1"/>
    <mergeCell ref="A48:D48"/>
    <mergeCell ref="A50:D50"/>
    <mergeCell ref="A49:D49"/>
  </mergeCells>
  <pageMargins left="0.7" right="0.7" top="0.75" bottom="0.75" header="0.3" footer="0.3"/>
  <pageSetup orientation="portrait" r:id="rId1"/>
  <ignoredErrors>
    <ignoredError sqref="H18 D18 H12 D12" formula="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A47E-14F3-458B-BF9B-68A11A3083FE}">
  <sheetPr codeName="Sheet7"/>
  <dimension ref="A1:AL100"/>
  <sheetViews>
    <sheetView showGridLines="0" zoomScale="80" zoomScaleNormal="80" workbookViewId="0">
      <selection activeCell="F9" sqref="F9"/>
    </sheetView>
  </sheetViews>
  <sheetFormatPr defaultRowHeight="15"/>
  <cols>
    <col min="1" max="1" width="95.140625" customWidth="1"/>
    <col min="2" max="2" width="23.85546875" customWidth="1"/>
    <col min="3" max="3" width="24.140625" customWidth="1"/>
    <col min="4" max="4" width="14.7109375" bestFit="1" customWidth="1"/>
    <col min="5" max="5" width="20.42578125" customWidth="1"/>
    <col min="6" max="6" width="15.7109375" customWidth="1"/>
    <col min="7" max="7" width="30.5703125" customWidth="1"/>
    <col min="8" max="8" width="22.140625" customWidth="1"/>
    <col min="9" max="9" width="18.140625" customWidth="1"/>
    <col min="10" max="10" width="17.140625" customWidth="1"/>
    <col min="11" max="11" width="21.140625" customWidth="1"/>
    <col min="12" max="12" width="15.7109375" customWidth="1"/>
    <col min="13" max="13" width="27.5703125" customWidth="1"/>
    <col min="14" max="25" width="15.7109375" customWidth="1"/>
    <col min="26" max="36" width="9.140625" customWidth="1"/>
  </cols>
  <sheetData>
    <row r="1" spans="1:24">
      <c r="A1" s="265" t="str">
        <f>Capex!A1</f>
        <v>Capacity for 350 KTPA PVC Plant using Captive Ethylene</v>
      </c>
      <c r="B1" s="588"/>
      <c r="C1" s="588"/>
      <c r="D1" s="588"/>
      <c r="E1" s="266" t="s">
        <v>118</v>
      </c>
      <c r="F1" s="496">
        <v>2028</v>
      </c>
      <c r="G1" s="496">
        <v>2029</v>
      </c>
      <c r="H1" s="496">
        <v>2030</v>
      </c>
      <c r="I1" s="496">
        <v>2031</v>
      </c>
      <c r="J1" s="496">
        <v>2032</v>
      </c>
      <c r="K1" s="496">
        <v>2033</v>
      </c>
      <c r="L1" s="496">
        <v>2034</v>
      </c>
      <c r="M1" s="496">
        <v>2035</v>
      </c>
      <c r="N1" s="496">
        <v>2036</v>
      </c>
      <c r="O1" s="496">
        <v>2037</v>
      </c>
      <c r="P1" s="496">
        <v>2038</v>
      </c>
      <c r="Q1" s="496">
        <v>2039</v>
      </c>
      <c r="R1" s="496">
        <v>2040</v>
      </c>
      <c r="S1" s="496">
        <v>2041</v>
      </c>
      <c r="T1" s="496">
        <v>2042</v>
      </c>
      <c r="U1" s="496">
        <v>2043</v>
      </c>
      <c r="V1" s="496">
        <v>2044</v>
      </c>
      <c r="W1" s="496">
        <v>2045</v>
      </c>
      <c r="X1" s="496">
        <v>2046</v>
      </c>
    </row>
    <row r="2" spans="1:24" ht="16.5" customHeight="1">
      <c r="A2" s="282" t="s">
        <v>11</v>
      </c>
      <c r="B2" s="37" t="s">
        <v>76</v>
      </c>
      <c r="C2" s="37" t="s">
        <v>77</v>
      </c>
      <c r="D2" s="272"/>
      <c r="E2" s="273">
        <f>E3+E9+E11+E14+E8</f>
        <v>1112.1244010354012</v>
      </c>
    </row>
    <row r="3" spans="1:24">
      <c r="A3" s="274" t="s">
        <v>12</v>
      </c>
      <c r="B3" s="276" t="s">
        <v>79</v>
      </c>
      <c r="C3" s="276" t="s">
        <v>143</v>
      </c>
      <c r="D3" s="275"/>
      <c r="E3" s="277">
        <f>SUM(E4:E6)</f>
        <v>756.42502352949725</v>
      </c>
      <c r="F3" s="497">
        <f>E3+E3*1.41%</f>
        <v>767.09061636126319</v>
      </c>
      <c r="G3" s="497">
        <f>F3+F3*1.54%</f>
        <v>778.90381185322667</v>
      </c>
      <c r="H3" s="497">
        <f>G3+G3*1.47%</f>
        <v>790.35369788746914</v>
      </c>
      <c r="I3" s="497">
        <f>H3+H3*1.21%</f>
        <v>799.91697763190746</v>
      </c>
      <c r="J3" s="497">
        <f>I3+I3*1.34%</f>
        <v>810.63586513217501</v>
      </c>
      <c r="K3" s="497">
        <f>J3+J3*1.31%</f>
        <v>821.25519496540653</v>
      </c>
      <c r="L3" s="497">
        <f>K3+K3*1.35%</f>
        <v>832.34214009743948</v>
      </c>
      <c r="M3" s="497">
        <f>L3+L3*1.5%</f>
        <v>844.82727219890103</v>
      </c>
      <c r="N3" s="497">
        <f>M3+M3*1.04%</f>
        <v>853.61347582976964</v>
      </c>
      <c r="O3" s="497">
        <f>N3+N3*1.12%</f>
        <v>863.17394675906303</v>
      </c>
      <c r="P3" s="497">
        <f>O3+O3*1.15%</f>
        <v>873.10044714679225</v>
      </c>
      <c r="Q3" s="497">
        <f>P3+P3*1.05%</f>
        <v>882.26800184183355</v>
      </c>
      <c r="R3" s="497">
        <f>Q3+Q3*1.03%</f>
        <v>891.35536226080444</v>
      </c>
      <c r="S3" s="497">
        <f>R3+R3*1.02%</f>
        <v>900.44718695586459</v>
      </c>
      <c r="T3" s="497">
        <f>S3+S3*1.15%</f>
        <v>910.80232960585704</v>
      </c>
      <c r="U3" s="497">
        <f>T3+T3*1.18%</f>
        <v>921.54979709520615</v>
      </c>
      <c r="V3" s="497">
        <f>U3+U3*1.25%</f>
        <v>933.06916955889619</v>
      </c>
      <c r="W3" s="497">
        <f>V3+V3*1.15%</f>
        <v>943.79946500882352</v>
      </c>
      <c r="X3" s="497">
        <f>W3+W3*1.17%</f>
        <v>954.84191874942678</v>
      </c>
    </row>
    <row r="4" spans="1:24">
      <c r="A4" s="283" t="s">
        <v>146</v>
      </c>
      <c r="B4" s="875">
        <v>161200</v>
      </c>
      <c r="C4" s="875">
        <f>'Financial Model High Propane'!CM69</f>
        <v>37679.592030365828</v>
      </c>
      <c r="D4" s="874"/>
      <c r="E4" s="278">
        <f>(B4*C4)/10^7</f>
        <v>607.39502352949717</v>
      </c>
      <c r="F4" s="261">
        <f>B4/350000</f>
        <v>0.46057142857142858</v>
      </c>
      <c r="L4" s="261"/>
    </row>
    <row r="5" spans="1:24">
      <c r="A5" s="283" t="s">
        <v>140</v>
      </c>
      <c r="B5" s="875">
        <v>206500</v>
      </c>
      <c r="C5" s="875">
        <v>5900</v>
      </c>
      <c r="D5" s="874"/>
      <c r="E5" s="278">
        <f>(B5*C5)/10^7</f>
        <v>121.83499999999999</v>
      </c>
      <c r="F5" s="261">
        <f>B5/350000</f>
        <v>0.59</v>
      </c>
      <c r="L5" s="261"/>
    </row>
    <row r="6" spans="1:24">
      <c r="A6" s="283" t="s">
        <v>141</v>
      </c>
      <c r="B6" s="875">
        <v>49000</v>
      </c>
      <c r="C6" s="875">
        <v>5550</v>
      </c>
      <c r="D6" s="874"/>
      <c r="E6" s="278">
        <f>(B6*C6)/10^7</f>
        <v>27.195</v>
      </c>
      <c r="F6" s="261">
        <f t="shared" ref="F6" si="0">B6/350000</f>
        <v>0.14000000000000001</v>
      </c>
      <c r="L6" s="261"/>
    </row>
    <row r="7" spans="1:24">
      <c r="A7" s="283" t="s">
        <v>105</v>
      </c>
      <c r="B7" s="875">
        <v>0</v>
      </c>
      <c r="C7" s="887">
        <v>0</v>
      </c>
      <c r="D7" s="886"/>
      <c r="E7" s="284">
        <v>0</v>
      </c>
      <c r="F7" s="261"/>
      <c r="L7" s="261"/>
    </row>
    <row r="8" spans="1:24">
      <c r="A8" s="872" t="s">
        <v>14</v>
      </c>
      <c r="B8" s="593"/>
      <c r="C8" s="593"/>
      <c r="D8" s="593"/>
      <c r="E8" s="33">
        <v>102.5</v>
      </c>
      <c r="F8" s="497">
        <f>E8+E8*1.55%</f>
        <v>104.08875</v>
      </c>
      <c r="G8" s="497">
        <f>F8+F8*1.57%</f>
        <v>105.722943375</v>
      </c>
      <c r="H8" s="497">
        <f>G8+G8*1.43%</f>
        <v>107.2347814652625</v>
      </c>
      <c r="I8" s="497">
        <f>H8+H8*1.4%</f>
        <v>108.73606840577618</v>
      </c>
      <c r="J8" s="497">
        <f t="shared" ref="J8:X8" si="1">I8+I8*1.34%</f>
        <v>110.19313172241358</v>
      </c>
      <c r="K8" s="497">
        <f t="shared" si="1"/>
        <v>111.66971968749392</v>
      </c>
      <c r="L8" s="497">
        <f t="shared" si="1"/>
        <v>113.16609393130634</v>
      </c>
      <c r="M8" s="497">
        <f t="shared" si="1"/>
        <v>114.68251958998584</v>
      </c>
      <c r="N8" s="497">
        <f t="shared" si="1"/>
        <v>116.21926535249166</v>
      </c>
      <c r="O8" s="497">
        <f t="shared" si="1"/>
        <v>117.77660350821505</v>
      </c>
      <c r="P8" s="497">
        <f t="shared" si="1"/>
        <v>119.35480999522512</v>
      </c>
      <c r="Q8" s="497">
        <f t="shared" si="1"/>
        <v>120.95416444916114</v>
      </c>
      <c r="R8" s="497">
        <f t="shared" si="1"/>
        <v>122.5749502527799</v>
      </c>
      <c r="S8" s="497">
        <f t="shared" si="1"/>
        <v>124.21745458616715</v>
      </c>
      <c r="T8" s="497">
        <f t="shared" si="1"/>
        <v>125.8819684776218</v>
      </c>
      <c r="U8" s="497">
        <f t="shared" si="1"/>
        <v>127.56878685522193</v>
      </c>
      <c r="V8" s="497">
        <f t="shared" si="1"/>
        <v>129.27820859908189</v>
      </c>
      <c r="W8" s="497">
        <f t="shared" si="1"/>
        <v>131.0105365943096</v>
      </c>
      <c r="X8" s="497">
        <f t="shared" si="1"/>
        <v>132.76607778467334</v>
      </c>
    </row>
    <row r="9" spans="1:24">
      <c r="A9" s="267" t="s">
        <v>15</v>
      </c>
      <c r="B9" s="590"/>
      <c r="C9" s="590"/>
      <c r="D9" s="590"/>
      <c r="E9" s="268">
        <f>E10</f>
        <v>26.91</v>
      </c>
      <c r="F9" s="261"/>
      <c r="L9" s="261"/>
    </row>
    <row r="10" spans="1:24" ht="16.5" customHeight="1">
      <c r="A10" s="872" t="s">
        <v>16</v>
      </c>
      <c r="B10" s="593"/>
      <c r="C10" s="593"/>
      <c r="D10" s="593" t="s">
        <v>13</v>
      </c>
      <c r="E10" s="33">
        <f>'Salaries &amp; Wages Calculations'!D8</f>
        <v>26.91</v>
      </c>
    </row>
    <row r="11" spans="1:24">
      <c r="A11" s="267" t="s">
        <v>17</v>
      </c>
      <c r="B11" s="590"/>
      <c r="C11" s="590"/>
      <c r="D11" s="590"/>
      <c r="E11" s="268">
        <f>E13+E12</f>
        <v>157.19999999999999</v>
      </c>
      <c r="F11" s="260"/>
      <c r="L11" s="261"/>
    </row>
    <row r="12" spans="1:24" ht="16.5" customHeight="1">
      <c r="A12" s="872" t="s">
        <v>18</v>
      </c>
      <c r="B12" s="593"/>
      <c r="C12" s="593"/>
      <c r="D12" s="593"/>
      <c r="E12" s="33">
        <v>39.200000000000003</v>
      </c>
      <c r="F12" s="260"/>
    </row>
    <row r="13" spans="1:24">
      <c r="A13" s="872" t="s">
        <v>19</v>
      </c>
      <c r="B13" s="593"/>
      <c r="C13" s="593"/>
      <c r="D13" s="593"/>
      <c r="E13" s="33">
        <v>118</v>
      </c>
    </row>
    <row r="14" spans="1:24">
      <c r="A14" s="267" t="s">
        <v>20</v>
      </c>
      <c r="B14" s="590"/>
      <c r="C14" s="590"/>
      <c r="D14" s="590"/>
      <c r="E14" s="268">
        <f>E15+E16</f>
        <v>69.089377505903997</v>
      </c>
      <c r="L14" s="261"/>
    </row>
    <row r="15" spans="1:24" ht="25.5" customHeight="1">
      <c r="A15" s="872" t="s">
        <v>350</v>
      </c>
      <c r="B15" s="593"/>
      <c r="C15" s="593"/>
      <c r="D15" s="3">
        <v>1.4999999999999999E-2</v>
      </c>
      <c r="E15" s="165">
        <f>D15*Capex!D21</f>
        <v>62.391746517119991</v>
      </c>
    </row>
    <row r="16" spans="1:24" ht="27.75" customHeight="1">
      <c r="A16" s="871" t="s">
        <v>512</v>
      </c>
      <c r="B16" s="870"/>
      <c r="C16" s="870"/>
      <c r="D16" s="258">
        <v>7.4999999999999997E-2</v>
      </c>
      <c r="E16" s="271">
        <f>D16*(E15+E10)</f>
        <v>6.6976309887839998</v>
      </c>
    </row>
    <row r="17" spans="1:38">
      <c r="A17" s="267" t="s">
        <v>21</v>
      </c>
      <c r="B17" s="590"/>
      <c r="C17" s="590"/>
      <c r="D17" s="43"/>
      <c r="E17" s="268">
        <f>E19+E18</f>
        <v>77.789892050550776</v>
      </c>
      <c r="L17" s="260"/>
    </row>
    <row r="18" spans="1:38" ht="26.25" customHeight="1">
      <c r="A18" s="872" t="s">
        <v>442</v>
      </c>
      <c r="B18" s="593"/>
      <c r="C18" s="593"/>
      <c r="D18" s="3">
        <v>2.5000000000000001E-2</v>
      </c>
      <c r="E18" s="33">
        <f>Sales!E5*D18</f>
        <v>65.405820520833331</v>
      </c>
      <c r="AL18" s="260"/>
    </row>
    <row r="19" spans="1:38" ht="17.25" customHeight="1">
      <c r="A19" s="872" t="s">
        <v>390</v>
      </c>
      <c r="B19" s="593"/>
      <c r="C19" s="593"/>
      <c r="D19" s="3">
        <v>1.4999999999999999E-2</v>
      </c>
      <c r="E19" s="33">
        <v>12.384071529717438</v>
      </c>
    </row>
    <row r="20" spans="1:38" ht="17.25" customHeight="1">
      <c r="A20" s="885" t="s">
        <v>30</v>
      </c>
      <c r="B20" s="885"/>
      <c r="C20" s="885"/>
      <c r="D20" s="885"/>
      <c r="E20" s="544">
        <f>E17+E2</f>
        <v>1189.9142930859521</v>
      </c>
    </row>
    <row r="21" spans="1:38" ht="18.75" customHeight="1">
      <c r="E21" s="260"/>
    </row>
    <row r="22" spans="1:38" ht="25.5">
      <c r="A22" s="882" t="str">
        <f>Capex!E1</f>
        <v>Capacity for 500 KTPA PVC Plant (350 KTPA from captive Ethylene and 150 KTPA EDC / VCM Outsourced)</v>
      </c>
      <c r="B22" s="882"/>
      <c r="C22" s="882"/>
      <c r="D22" s="882"/>
      <c r="E22" s="269" t="s">
        <v>118</v>
      </c>
      <c r="F22" s="496">
        <v>2028</v>
      </c>
      <c r="G22" s="496">
        <v>2029</v>
      </c>
      <c r="H22" s="496">
        <v>2030</v>
      </c>
      <c r="I22" s="496">
        <v>2031</v>
      </c>
      <c r="J22" s="496">
        <v>2032</v>
      </c>
      <c r="K22" s="496">
        <v>2033</v>
      </c>
      <c r="L22" s="496">
        <v>2034</v>
      </c>
      <c r="M22" s="496">
        <v>2035</v>
      </c>
      <c r="N22" s="496">
        <v>2036</v>
      </c>
      <c r="O22" s="496">
        <v>2037</v>
      </c>
      <c r="P22" s="496">
        <v>2038</v>
      </c>
      <c r="Q22" s="496">
        <v>2039</v>
      </c>
      <c r="R22" s="496">
        <v>2040</v>
      </c>
      <c r="S22" s="496">
        <v>2041</v>
      </c>
      <c r="T22" s="496">
        <v>2042</v>
      </c>
      <c r="U22" s="496">
        <v>2043</v>
      </c>
      <c r="V22" s="496">
        <v>2044</v>
      </c>
      <c r="W22" s="496">
        <v>2045</v>
      </c>
      <c r="X22" s="496">
        <v>2046</v>
      </c>
    </row>
    <row r="23" spans="1:38">
      <c r="A23" s="279" t="s">
        <v>11</v>
      </c>
      <c r="B23" s="37" t="s">
        <v>76</v>
      </c>
      <c r="C23" s="37" t="s">
        <v>77</v>
      </c>
      <c r="D23" s="272"/>
      <c r="E23" s="280">
        <f>E24+E30+E32+E35</f>
        <v>1750.9779177434011</v>
      </c>
    </row>
    <row r="24" spans="1:38">
      <c r="A24" s="281" t="s">
        <v>12</v>
      </c>
      <c r="B24" s="276" t="s">
        <v>79</v>
      </c>
      <c r="C24" s="276" t="s">
        <v>143</v>
      </c>
      <c r="D24" s="285" t="s">
        <v>398</v>
      </c>
      <c r="E24" s="277">
        <f>SUM(E25:E28)+E29</f>
        <v>1423.8350335294972</v>
      </c>
      <c r="F24" s="497">
        <f>E24+E24*1.26%</f>
        <v>1441.7753549519689</v>
      </c>
      <c r="G24" s="497">
        <f>F24+F24*1.24%</f>
        <v>1459.6533693533734</v>
      </c>
      <c r="H24" s="497">
        <f>G24+G24*1.27%</f>
        <v>1478.1909671441613</v>
      </c>
      <c r="I24" s="497">
        <f>H24+H24*1.31%</f>
        <v>1497.5552688137498</v>
      </c>
      <c r="J24" s="497">
        <f>I24+I24*1.44%</f>
        <v>1519.1200646846678</v>
      </c>
      <c r="K24" s="497">
        <f>J24+J24*1.1%</f>
        <v>1535.8303853961991</v>
      </c>
      <c r="L24" s="497">
        <f>K24+K24*1.15%</f>
        <v>1553.4924348282555</v>
      </c>
      <c r="M24" s="497">
        <f>L24+L24*1.15%</f>
        <v>1571.3575978287804</v>
      </c>
      <c r="N24" s="497">
        <f>M24+M24*1.14%</f>
        <v>1589.2710744440285</v>
      </c>
      <c r="O24" s="497">
        <f>N24+N24*1.32%</f>
        <v>1610.2494526266896</v>
      </c>
      <c r="P24" s="497">
        <f>O24+O24*1.37%</f>
        <v>1632.3098701276754</v>
      </c>
      <c r="Q24" s="497">
        <f>P24+P24*1.41%</f>
        <v>1655.3254392964757</v>
      </c>
      <c r="R24" s="497">
        <f>Q24+Q24*1.42%</f>
        <v>1678.8310605344857</v>
      </c>
      <c r="S24" s="497">
        <f>R24+R24*1.15%</f>
        <v>1698.1376177306322</v>
      </c>
      <c r="T24" s="497">
        <f>S24+S24*1.14%</f>
        <v>1717.4963865727614</v>
      </c>
      <c r="U24" s="497">
        <f>T24+T24*1.15%</f>
        <v>1737.2475950183482</v>
      </c>
      <c r="V24" s="497">
        <f>U24+U24*1.22%</f>
        <v>1758.442015677572</v>
      </c>
      <c r="W24" s="497">
        <f>V24+V24*1.31%</f>
        <v>1781.4776060829483</v>
      </c>
      <c r="X24" s="497">
        <f>W24+W24*1.23%</f>
        <v>1803.3897806377686</v>
      </c>
    </row>
    <row r="25" spans="1:38">
      <c r="A25" s="881" t="s">
        <v>146</v>
      </c>
      <c r="B25" s="880">
        <f>B4</f>
        <v>161200</v>
      </c>
      <c r="C25" s="879">
        <f>'Financial Model High Propane'!CM69</f>
        <v>37679.592030365828</v>
      </c>
      <c r="D25" s="878"/>
      <c r="E25" s="270">
        <f>(B25*C25)/10^7</f>
        <v>607.39502352949717</v>
      </c>
    </row>
    <row r="26" spans="1:38">
      <c r="A26" s="881" t="s">
        <v>140</v>
      </c>
      <c r="B26" s="880">
        <f>B5</f>
        <v>206500</v>
      </c>
      <c r="C26" s="879">
        <v>5900</v>
      </c>
      <c r="D26" s="878"/>
      <c r="E26" s="270">
        <f>(B26*C26)/10^7</f>
        <v>121.83499999999999</v>
      </c>
    </row>
    <row r="27" spans="1:38">
      <c r="A27" s="881" t="s">
        <v>105</v>
      </c>
      <c r="B27" s="884">
        <v>200000</v>
      </c>
      <c r="C27" s="879">
        <f>'Annual COP'!P10</f>
        <v>27800</v>
      </c>
      <c r="D27" s="878"/>
      <c r="E27" s="270">
        <f>(B27*C27)/10^7</f>
        <v>556</v>
      </c>
    </row>
    <row r="28" spans="1:38">
      <c r="A28" s="881" t="s">
        <v>141</v>
      </c>
      <c r="B28" s="880">
        <f>B6</f>
        <v>49000</v>
      </c>
      <c r="C28" s="879">
        <f>'Annual COP'!P11</f>
        <v>5550</v>
      </c>
      <c r="D28" s="878"/>
      <c r="E28" s="270">
        <f>(B28*C28)/10^7</f>
        <v>27.195</v>
      </c>
    </row>
    <row r="29" spans="1:38">
      <c r="A29" s="871" t="s">
        <v>14</v>
      </c>
      <c r="B29" s="870"/>
      <c r="C29" s="870"/>
      <c r="D29" s="870"/>
      <c r="E29" s="271">
        <v>111.41001000000001</v>
      </c>
      <c r="F29" s="497">
        <f>E29+E29*1.34%</f>
        <v>112.90290413400001</v>
      </c>
      <c r="G29" s="497">
        <f>F29+F29*1.24%</f>
        <v>114.30290014526162</v>
      </c>
      <c r="H29" s="497">
        <f>G29+G29*1.27%</f>
        <v>115.75454697710644</v>
      </c>
      <c r="I29" s="497">
        <f>H29+H29*1.21%</f>
        <v>117.15517699552943</v>
      </c>
      <c r="J29" s="497">
        <f>I29+I29*1.14%</f>
        <v>118.49074601327847</v>
      </c>
      <c r="K29" s="497">
        <f t="shared" ref="K29:X29" si="2">J29+J29*1.05%</f>
        <v>119.73489884641789</v>
      </c>
      <c r="L29" s="497">
        <f t="shared" si="2"/>
        <v>120.99211528430529</v>
      </c>
      <c r="M29" s="497">
        <f t="shared" si="2"/>
        <v>122.26253249479049</v>
      </c>
      <c r="N29" s="497">
        <f t="shared" si="2"/>
        <v>123.54628908598579</v>
      </c>
      <c r="O29" s="497">
        <f t="shared" si="2"/>
        <v>124.84352512138864</v>
      </c>
      <c r="P29" s="497">
        <f t="shared" si="2"/>
        <v>126.15438213516322</v>
      </c>
      <c r="Q29" s="497">
        <f t="shared" si="2"/>
        <v>127.47900314758243</v>
      </c>
      <c r="R29" s="497">
        <f t="shared" si="2"/>
        <v>128.81753268063204</v>
      </c>
      <c r="S29" s="497">
        <f t="shared" si="2"/>
        <v>130.17011677377869</v>
      </c>
      <c r="T29" s="497">
        <f t="shared" si="2"/>
        <v>131.53690299990336</v>
      </c>
      <c r="U29" s="497">
        <f t="shared" si="2"/>
        <v>132.91804048140236</v>
      </c>
      <c r="V29" s="497">
        <f t="shared" si="2"/>
        <v>134.31367990645708</v>
      </c>
      <c r="W29" s="497">
        <f t="shared" si="2"/>
        <v>135.72397354547488</v>
      </c>
      <c r="X29" s="497">
        <f t="shared" si="2"/>
        <v>137.14907526770236</v>
      </c>
    </row>
    <row r="30" spans="1:38">
      <c r="A30" s="493" t="s">
        <v>15</v>
      </c>
      <c r="B30" s="878"/>
      <c r="C30" s="878"/>
      <c r="D30" s="878"/>
      <c r="E30" s="270">
        <f>E31</f>
        <v>30.68</v>
      </c>
    </row>
    <row r="31" spans="1:38">
      <c r="A31" s="871" t="s">
        <v>16</v>
      </c>
      <c r="B31" s="870"/>
      <c r="C31" s="870"/>
      <c r="D31" s="870" t="s">
        <v>13</v>
      </c>
      <c r="E31" s="271">
        <f>'Salaries &amp; Wages Calculations'!I8</f>
        <v>30.68</v>
      </c>
    </row>
    <row r="32" spans="1:38">
      <c r="A32" s="493" t="s">
        <v>17</v>
      </c>
      <c r="B32" s="878"/>
      <c r="C32" s="878"/>
      <c r="D32" s="878"/>
      <c r="E32" s="270">
        <f>E34+E33</f>
        <v>196.55</v>
      </c>
      <c r="F32" s="260"/>
    </row>
    <row r="33" spans="1:30">
      <c r="A33" s="871" t="s">
        <v>18</v>
      </c>
      <c r="B33" s="870"/>
      <c r="C33" s="870"/>
      <c r="D33" s="870"/>
      <c r="E33" s="271">
        <v>51.55</v>
      </c>
      <c r="F33" s="260"/>
    </row>
    <row r="34" spans="1:30">
      <c r="A34" s="871" t="s">
        <v>19</v>
      </c>
      <c r="B34" s="870"/>
      <c r="C34" s="870"/>
      <c r="D34" s="870"/>
      <c r="E34" s="271">
        <v>145</v>
      </c>
    </row>
    <row r="35" spans="1:30">
      <c r="A35" s="493" t="s">
        <v>20</v>
      </c>
      <c r="B35" s="878"/>
      <c r="C35" s="878"/>
      <c r="D35" s="878"/>
      <c r="E35" s="270">
        <f>E36+E37</f>
        <v>99.912884213903979</v>
      </c>
    </row>
    <row r="36" spans="1:30" ht="16.5" customHeight="1">
      <c r="A36" s="871" t="s">
        <v>350</v>
      </c>
      <c r="B36" s="870"/>
      <c r="C36" s="870"/>
      <c r="D36" s="258">
        <v>1.4999999999999999E-2</v>
      </c>
      <c r="E36" s="271">
        <f>Capex!H21*0.015</f>
        <v>90.801752757119985</v>
      </c>
    </row>
    <row r="37" spans="1:30">
      <c r="A37" s="871" t="s">
        <v>513</v>
      </c>
      <c r="B37" s="870"/>
      <c r="C37" s="870"/>
      <c r="D37" s="258">
        <v>7.4999999999999997E-2</v>
      </c>
      <c r="E37" s="271">
        <f>D37*(E36+E31)</f>
        <v>9.1111314567839976</v>
      </c>
    </row>
    <row r="38" spans="1:30">
      <c r="A38" s="493" t="s">
        <v>21</v>
      </c>
      <c r="B38" s="878"/>
      <c r="C38" s="878"/>
      <c r="D38" s="259"/>
      <c r="E38" s="270">
        <f>E40+E39</f>
        <v>119.70155522448435</v>
      </c>
    </row>
    <row r="39" spans="1:30">
      <c r="A39" s="871" t="s">
        <v>443</v>
      </c>
      <c r="B39" s="870"/>
      <c r="C39" s="870"/>
      <c r="D39" s="258">
        <v>2.5000000000000001E-2</v>
      </c>
      <c r="E39" s="271">
        <f>Sales!E9*D39</f>
        <v>93.436886458333333</v>
      </c>
    </row>
    <row r="40" spans="1:30">
      <c r="A40" s="871" t="s">
        <v>397</v>
      </c>
      <c r="B40" s="870"/>
      <c r="C40" s="870"/>
      <c r="D40" s="258">
        <v>1.4999999999999999E-2</v>
      </c>
      <c r="E40" s="271">
        <f>E23*D40</f>
        <v>26.264668766151015</v>
      </c>
    </row>
    <row r="41" spans="1:30">
      <c r="A41" s="868" t="s">
        <v>30</v>
      </c>
      <c r="B41" s="868"/>
      <c r="C41" s="868"/>
      <c r="D41" s="868" t="s">
        <v>23</v>
      </c>
      <c r="E41" s="867">
        <f>E38+E23</f>
        <v>1870.6794729678854</v>
      </c>
    </row>
    <row r="43" spans="1:30">
      <c r="A43" s="883" t="str">
        <f>Capex!I1</f>
        <v>Capacity for 500 KTPA PVC Resin (EDC / VCM to PVC Plant (EDC / VCM Outsourced)</v>
      </c>
      <c r="B43" s="882"/>
      <c r="C43" s="882"/>
      <c r="D43" s="882"/>
      <c r="E43" s="269" t="s">
        <v>118</v>
      </c>
    </row>
    <row r="44" spans="1:30">
      <c r="A44" s="279" t="s">
        <v>11</v>
      </c>
      <c r="B44" s="37" t="s">
        <v>76</v>
      </c>
      <c r="C44" s="37" t="s">
        <v>77</v>
      </c>
      <c r="D44" s="272"/>
      <c r="E44" s="280">
        <f>E45+E49+E51+E54</f>
        <v>2770.2559474999998</v>
      </c>
    </row>
    <row r="45" spans="1:30">
      <c r="A45" s="281" t="s">
        <v>12</v>
      </c>
      <c r="B45" s="276" t="s">
        <v>79</v>
      </c>
      <c r="C45" s="276" t="s">
        <v>143</v>
      </c>
      <c r="D45" s="285" t="s">
        <v>398</v>
      </c>
      <c r="E45" s="277">
        <f t="shared" ref="E45:AD45" si="3">SUM(E46:E47)+E48</f>
        <v>2528.82501</v>
      </c>
      <c r="F45" s="277">
        <f t="shared" si="3"/>
        <v>2561.6892051260002</v>
      </c>
      <c r="G45" s="277">
        <f t="shared" si="3"/>
        <v>2592.9528765105874</v>
      </c>
      <c r="H45" s="277">
        <f t="shared" si="3"/>
        <v>2625.6240827546212</v>
      </c>
      <c r="I45" s="277">
        <f t="shared" si="3"/>
        <v>2658.7069461973292</v>
      </c>
      <c r="J45" s="277">
        <f t="shared" si="3"/>
        <v>2692.2066537194155</v>
      </c>
      <c r="K45" s="277">
        <f t="shared" si="3"/>
        <v>2726.12845755628</v>
      </c>
      <c r="L45" s="277">
        <f t="shared" si="3"/>
        <v>2760.4776761214889</v>
      </c>
      <c r="M45" s="277">
        <f t="shared" si="3"/>
        <v>2795.2596948406199</v>
      </c>
      <c r="N45" s="277">
        <f t="shared" si="3"/>
        <v>2830.4799669956114</v>
      </c>
      <c r="O45" s="277">
        <f t="shared" si="3"/>
        <v>2866.144014579756</v>
      </c>
      <c r="P45" s="277">
        <f t="shared" si="3"/>
        <v>2902.257429163461</v>
      </c>
      <c r="Q45" s="277">
        <f t="shared" si="3"/>
        <v>2938.8258727709208</v>
      </c>
      <c r="R45" s="277">
        <f t="shared" si="3"/>
        <v>2975.8550787678346</v>
      </c>
      <c r="S45" s="277">
        <f t="shared" si="3"/>
        <v>3013.350852760309</v>
      </c>
      <c r="T45" s="277">
        <f t="shared" si="3"/>
        <v>3051.3190735050889</v>
      </c>
      <c r="U45" s="277">
        <f t="shared" si="3"/>
        <v>3089.765693831253</v>
      </c>
      <c r="V45" s="277">
        <f t="shared" si="3"/>
        <v>3128.6967415735267</v>
      </c>
      <c r="W45" s="277">
        <f t="shared" si="3"/>
        <v>3168.1183205173534</v>
      </c>
      <c r="X45" s="277">
        <f t="shared" si="3"/>
        <v>3208.0366113558721</v>
      </c>
      <c r="Y45" s="277">
        <f t="shared" si="3"/>
        <v>3248.4578726589561</v>
      </c>
      <c r="Z45" s="277">
        <f t="shared" si="3"/>
        <v>3289.388441854459</v>
      </c>
      <c r="AA45" s="277">
        <f t="shared" si="3"/>
        <v>3330.8347362218251</v>
      </c>
      <c r="AB45" s="277">
        <f t="shared" si="3"/>
        <v>3372.8032538982197</v>
      </c>
      <c r="AC45" s="277">
        <f t="shared" si="3"/>
        <v>3415.3005748973374</v>
      </c>
      <c r="AD45" s="277">
        <f t="shared" si="3"/>
        <v>3458.3333621410438</v>
      </c>
    </row>
    <row r="46" spans="1:30">
      <c r="A46" s="881" t="s">
        <v>105</v>
      </c>
      <c r="B46" s="880">
        <v>0</v>
      </c>
      <c r="C46" s="879">
        <f>'Financial Model High Propane'!CM79</f>
        <v>0</v>
      </c>
      <c r="D46" s="878"/>
      <c r="E46" s="270">
        <f>(B46*C46)/10^7</f>
        <v>0</v>
      </c>
      <c r="F46">
        <f>B47/500000</f>
        <v>1.0009999999999999</v>
      </c>
    </row>
    <row r="47" spans="1:30">
      <c r="A47" s="881" t="s">
        <v>494</v>
      </c>
      <c r="B47" s="880">
        <f>500*1001</f>
        <v>500500</v>
      </c>
      <c r="C47" s="879">
        <v>48300</v>
      </c>
      <c r="D47" s="878"/>
      <c r="E47" s="270">
        <f>(B47*C47)/10^7</f>
        <v>2417.415</v>
      </c>
      <c r="F47" s="497">
        <f t="shared" ref="F47:AD47" si="4">E47+E47*1.26%</f>
        <v>2447.874429</v>
      </c>
      <c r="G47" s="497">
        <f t="shared" si="4"/>
        <v>2478.7176468053999</v>
      </c>
      <c r="H47" s="497">
        <f t="shared" si="4"/>
        <v>2509.9494891551481</v>
      </c>
      <c r="I47" s="497">
        <f t="shared" si="4"/>
        <v>2541.5748527185028</v>
      </c>
      <c r="J47" s="497">
        <f t="shared" si="4"/>
        <v>2573.5986958627559</v>
      </c>
      <c r="K47" s="497">
        <f t="shared" si="4"/>
        <v>2606.0260394306265</v>
      </c>
      <c r="L47" s="497">
        <f t="shared" si="4"/>
        <v>2638.8619675274522</v>
      </c>
      <c r="M47" s="497">
        <f t="shared" si="4"/>
        <v>2672.1116283182982</v>
      </c>
      <c r="N47" s="497">
        <f t="shared" si="4"/>
        <v>2705.7802348351088</v>
      </c>
      <c r="O47" s="497">
        <f t="shared" si="4"/>
        <v>2739.8730657940309</v>
      </c>
      <c r="P47" s="497">
        <f t="shared" si="4"/>
        <v>2774.3954664230359</v>
      </c>
      <c r="Q47" s="497">
        <f t="shared" si="4"/>
        <v>2809.3528492999662</v>
      </c>
      <c r="R47" s="497">
        <f t="shared" si="4"/>
        <v>2844.7506952011458</v>
      </c>
      <c r="S47" s="497">
        <f t="shared" si="4"/>
        <v>2880.5945539606801</v>
      </c>
      <c r="T47" s="497">
        <f t="shared" si="4"/>
        <v>2916.8900453405845</v>
      </c>
      <c r="U47" s="497">
        <f t="shared" si="4"/>
        <v>2953.6428599118758</v>
      </c>
      <c r="V47" s="497">
        <f t="shared" si="4"/>
        <v>2990.8587599467655</v>
      </c>
      <c r="W47" s="497">
        <f t="shared" si="4"/>
        <v>3028.5435803220948</v>
      </c>
      <c r="X47" s="497">
        <f t="shared" si="4"/>
        <v>3066.7032294341534</v>
      </c>
      <c r="Y47" s="497">
        <f t="shared" si="4"/>
        <v>3105.3436901250238</v>
      </c>
      <c r="Z47" s="497">
        <f t="shared" si="4"/>
        <v>3144.4710206205991</v>
      </c>
      <c r="AA47" s="497">
        <f t="shared" si="4"/>
        <v>3184.0913554804188</v>
      </c>
      <c r="AB47" s="497">
        <f t="shared" si="4"/>
        <v>3224.2109065594718</v>
      </c>
      <c r="AC47" s="497">
        <f t="shared" si="4"/>
        <v>3264.835963982121</v>
      </c>
      <c r="AD47" s="497">
        <f t="shared" si="4"/>
        <v>3305.9728971282957</v>
      </c>
    </row>
    <row r="48" spans="1:30">
      <c r="A48" s="871" t="s">
        <v>14</v>
      </c>
      <c r="B48" s="870"/>
      <c r="C48" s="870"/>
      <c r="D48" s="870"/>
      <c r="E48" s="271">
        <v>111.41001000000001</v>
      </c>
      <c r="F48" s="497">
        <f t="shared" ref="F48:AD48" si="5">E48+E48*1.26%</f>
        <v>112.81377612600001</v>
      </c>
      <c r="G48" s="497">
        <f t="shared" si="5"/>
        <v>114.23522970518761</v>
      </c>
      <c r="H48" s="497">
        <f t="shared" si="5"/>
        <v>115.67459359947297</v>
      </c>
      <c r="I48" s="497">
        <f t="shared" si="5"/>
        <v>117.13209347882633</v>
      </c>
      <c r="J48" s="497">
        <f t="shared" si="5"/>
        <v>118.60795785665955</v>
      </c>
      <c r="K48" s="497">
        <f t="shared" si="5"/>
        <v>120.10241812565346</v>
      </c>
      <c r="L48" s="497">
        <f t="shared" si="5"/>
        <v>121.61570859403669</v>
      </c>
      <c r="M48" s="497">
        <f t="shared" si="5"/>
        <v>123.14806652232156</v>
      </c>
      <c r="N48" s="497">
        <f t="shared" si="5"/>
        <v>124.6997321605028</v>
      </c>
      <c r="O48" s="497">
        <f t="shared" si="5"/>
        <v>126.27094878572514</v>
      </c>
      <c r="P48" s="497">
        <f t="shared" si="5"/>
        <v>127.86196274042527</v>
      </c>
      <c r="Q48" s="497">
        <f t="shared" si="5"/>
        <v>129.47302347095462</v>
      </c>
      <c r="R48" s="497">
        <f t="shared" si="5"/>
        <v>131.10438356668865</v>
      </c>
      <c r="S48" s="497">
        <f t="shared" si="5"/>
        <v>132.75629879962892</v>
      </c>
      <c r="T48" s="497">
        <f t="shared" si="5"/>
        <v>134.42902816450425</v>
      </c>
      <c r="U48" s="497">
        <f t="shared" si="5"/>
        <v>136.122833919377</v>
      </c>
      <c r="V48" s="497">
        <f t="shared" si="5"/>
        <v>137.83798162676115</v>
      </c>
      <c r="W48" s="497">
        <f t="shared" si="5"/>
        <v>139.57474019525833</v>
      </c>
      <c r="X48" s="497">
        <f t="shared" si="5"/>
        <v>141.3333819217186</v>
      </c>
      <c r="Y48" s="497">
        <f t="shared" si="5"/>
        <v>143.11418253393225</v>
      </c>
      <c r="Z48" s="497">
        <f t="shared" si="5"/>
        <v>144.91742123385978</v>
      </c>
      <c r="AA48" s="497">
        <f t="shared" si="5"/>
        <v>146.74338074140641</v>
      </c>
      <c r="AB48" s="497">
        <f t="shared" si="5"/>
        <v>148.59234733874814</v>
      </c>
      <c r="AC48" s="497">
        <f t="shared" si="5"/>
        <v>150.46461091521635</v>
      </c>
      <c r="AD48" s="497">
        <f t="shared" si="5"/>
        <v>152.36046501274808</v>
      </c>
    </row>
    <row r="49" spans="1:24">
      <c r="A49" s="493" t="s">
        <v>15</v>
      </c>
      <c r="B49" s="878"/>
      <c r="C49" s="878"/>
      <c r="D49" s="878"/>
      <c r="E49" s="270">
        <f>E50</f>
        <v>24.5</v>
      </c>
    </row>
    <row r="50" spans="1:24">
      <c r="A50" s="871" t="s">
        <v>16</v>
      </c>
      <c r="B50" s="870"/>
      <c r="C50" s="870"/>
      <c r="D50" s="870" t="s">
        <v>13</v>
      </c>
      <c r="E50" s="271">
        <v>24.5</v>
      </c>
    </row>
    <row r="51" spans="1:24">
      <c r="A51" s="493" t="s">
        <v>17</v>
      </c>
      <c r="B51" s="878"/>
      <c r="C51" s="878"/>
      <c r="D51" s="878"/>
      <c r="E51" s="270">
        <f>E53+E52</f>
        <v>143.69999999999999</v>
      </c>
      <c r="F51" s="260"/>
    </row>
    <row r="52" spans="1:24">
      <c r="A52" s="871" t="s">
        <v>18</v>
      </c>
      <c r="B52" s="870"/>
      <c r="C52" s="870"/>
      <c r="D52" s="870"/>
      <c r="E52" s="271">
        <v>48.3</v>
      </c>
      <c r="F52" s="260"/>
    </row>
    <row r="53" spans="1:24">
      <c r="A53" s="871" t="s">
        <v>19</v>
      </c>
      <c r="B53" s="870"/>
      <c r="C53" s="870"/>
      <c r="D53" s="870"/>
      <c r="E53" s="271">
        <v>95.4</v>
      </c>
    </row>
    <row r="54" spans="1:24">
      <c r="A54" s="493" t="s">
        <v>20</v>
      </c>
      <c r="B54" s="878"/>
      <c r="C54" s="878"/>
      <c r="D54" s="878"/>
      <c r="E54" s="270">
        <f>E55+E56</f>
        <v>73.230937499999996</v>
      </c>
    </row>
    <row r="55" spans="1:24">
      <c r="A55" s="871" t="s">
        <v>350</v>
      </c>
      <c r="B55" s="870"/>
      <c r="C55" s="870"/>
      <c r="D55" s="258">
        <v>1.4999999999999999E-2</v>
      </c>
      <c r="E55" s="271">
        <f>Capex!L21*0.015</f>
        <v>66.412499999999994</v>
      </c>
    </row>
    <row r="56" spans="1:24">
      <c r="A56" s="871" t="s">
        <v>514</v>
      </c>
      <c r="B56" s="870"/>
      <c r="C56" s="870"/>
      <c r="D56" s="258">
        <v>7.4999999999999997E-2</v>
      </c>
      <c r="E56" s="271">
        <f>D56*(E55+E50)</f>
        <v>6.818437499999999</v>
      </c>
    </row>
    <row r="57" spans="1:24">
      <c r="A57" s="493" t="s">
        <v>21</v>
      </c>
      <c r="B57" s="878"/>
      <c r="C57" s="878"/>
      <c r="D57" s="259"/>
      <c r="E57" s="270">
        <f>E59+E58</f>
        <v>106.95965973333332</v>
      </c>
    </row>
    <row r="58" spans="1:24">
      <c r="A58" s="871" t="s">
        <v>443</v>
      </c>
      <c r="B58" s="870"/>
      <c r="C58" s="870"/>
      <c r="D58" s="258">
        <v>2.5000000000000001E-2</v>
      </c>
      <c r="E58" s="271">
        <f>Sales!E5*D58</f>
        <v>65.405820520833331</v>
      </c>
    </row>
    <row r="59" spans="1:24">
      <c r="A59" s="871" t="s">
        <v>397</v>
      </c>
      <c r="B59" s="870"/>
      <c r="C59" s="870"/>
      <c r="D59" s="258">
        <v>1.4999999999999999E-2</v>
      </c>
      <c r="E59" s="271">
        <f>E44*D59</f>
        <v>41.553839212499994</v>
      </c>
    </row>
    <row r="60" spans="1:24">
      <c r="A60" s="868" t="s">
        <v>30</v>
      </c>
      <c r="B60" s="868"/>
      <c r="C60" s="868"/>
      <c r="D60" s="868"/>
      <c r="E60" s="867">
        <f>E57+E44</f>
        <v>2877.2156072333332</v>
      </c>
    </row>
    <row r="62" spans="1:24">
      <c r="A62" s="888" t="s">
        <v>545</v>
      </c>
      <c r="B62" s="889"/>
      <c r="C62" s="889"/>
      <c r="D62" s="889"/>
      <c r="E62" s="890" t="s">
        <v>118</v>
      </c>
      <c r="F62" s="496">
        <v>2028</v>
      </c>
      <c r="G62" s="496">
        <v>2029</v>
      </c>
      <c r="H62" s="496">
        <v>2030</v>
      </c>
      <c r="I62" s="496">
        <v>2031</v>
      </c>
      <c r="J62" s="496">
        <v>2032</v>
      </c>
      <c r="K62" s="496">
        <v>2033</v>
      </c>
      <c r="L62" s="496">
        <v>2034</v>
      </c>
      <c r="M62" s="496">
        <v>2035</v>
      </c>
      <c r="N62" s="496">
        <v>2036</v>
      </c>
      <c r="O62" s="496">
        <v>2037</v>
      </c>
      <c r="P62" s="496">
        <v>2038</v>
      </c>
      <c r="Q62" s="496">
        <v>2039</v>
      </c>
      <c r="R62" s="496">
        <v>2040</v>
      </c>
      <c r="S62" s="496">
        <v>2041</v>
      </c>
      <c r="T62" s="496">
        <v>2042</v>
      </c>
      <c r="U62" s="496">
        <v>2043</v>
      </c>
      <c r="V62" s="496">
        <v>2044</v>
      </c>
      <c r="W62" s="496">
        <v>2045</v>
      </c>
      <c r="X62" s="496">
        <v>2046</v>
      </c>
    </row>
    <row r="63" spans="1:24">
      <c r="A63" s="282" t="s">
        <v>11</v>
      </c>
      <c r="B63" s="37" t="s">
        <v>76</v>
      </c>
      <c r="C63" s="37" t="s">
        <v>77</v>
      </c>
      <c r="D63" s="272"/>
      <c r="E63" s="273">
        <f>E64+E69+E71+E74+E68</f>
        <v>1142.3544010354012</v>
      </c>
    </row>
    <row r="64" spans="1:24">
      <c r="A64" s="618" t="s">
        <v>12</v>
      </c>
      <c r="B64" s="39" t="s">
        <v>79</v>
      </c>
      <c r="C64" s="39" t="s">
        <v>143</v>
      </c>
      <c r="D64" s="877"/>
      <c r="E64" s="619">
        <f>SUM(E65:E67)</f>
        <v>756.42502352949725</v>
      </c>
      <c r="F64" s="497">
        <f>E64+E64*1.41%</f>
        <v>767.09061636126319</v>
      </c>
      <c r="G64" s="497">
        <f>F64+F64*1.54%</f>
        <v>778.90381185322667</v>
      </c>
      <c r="H64" s="497">
        <f>G64+G64*1.47%</f>
        <v>790.35369788746914</v>
      </c>
      <c r="I64" s="497">
        <f>H64+H64*1.21%</f>
        <v>799.91697763190746</v>
      </c>
      <c r="J64" s="497">
        <f>I64+I64*1.34%</f>
        <v>810.63586513217501</v>
      </c>
      <c r="K64" s="497">
        <f>J64+J64*1.31%</f>
        <v>821.25519496540653</v>
      </c>
      <c r="L64" s="497">
        <f>K64+K64*1.35%</f>
        <v>832.34214009743948</v>
      </c>
      <c r="M64" s="497">
        <f>L64+L64*1.5%</f>
        <v>844.82727219890103</v>
      </c>
      <c r="N64" s="497">
        <f>M64+M64*1.04%</f>
        <v>853.61347582976964</v>
      </c>
      <c r="O64" s="497">
        <f>N64+N64*1.12%</f>
        <v>863.17394675906303</v>
      </c>
      <c r="P64" s="497">
        <f>O64+O64*1.15%</f>
        <v>873.10044714679225</v>
      </c>
      <c r="Q64" s="497">
        <f>P64+P64*1.05%</f>
        <v>882.26800184183355</v>
      </c>
      <c r="R64" s="497">
        <f>Q64+Q64*1.03%</f>
        <v>891.35536226080444</v>
      </c>
      <c r="S64" s="497">
        <f>R64+R64*1.02%</f>
        <v>900.44718695586459</v>
      </c>
      <c r="T64" s="497">
        <f>S64+S64*1.15%</f>
        <v>910.80232960585704</v>
      </c>
      <c r="U64" s="497">
        <f>T64+T64*1.18%</f>
        <v>921.54979709520615</v>
      </c>
      <c r="V64" s="497">
        <f>U64+U64*1.25%</f>
        <v>933.06916955889619</v>
      </c>
      <c r="W64" s="497">
        <f>V64+V64*1.15%</f>
        <v>943.79946500882352</v>
      </c>
      <c r="X64" s="497">
        <f>W64+W64*1.17%</f>
        <v>954.84191874942678</v>
      </c>
    </row>
    <row r="65" spans="1:24">
      <c r="A65" s="876" t="s">
        <v>146</v>
      </c>
      <c r="B65" s="875">
        <f>B4</f>
        <v>161200</v>
      </c>
      <c r="C65" s="875">
        <f>C4</f>
        <v>37679.592030365828</v>
      </c>
      <c r="D65" s="876"/>
      <c r="E65" s="875">
        <f>(B65*C65)/10^7</f>
        <v>607.39502352949717</v>
      </c>
      <c r="F65" s="497"/>
      <c r="G65" s="497"/>
      <c r="H65" s="497"/>
      <c r="I65" s="497"/>
      <c r="J65" s="497"/>
      <c r="K65" s="497"/>
      <c r="L65" s="497"/>
      <c r="M65" s="497"/>
      <c r="N65" s="497"/>
      <c r="O65" s="497"/>
      <c r="P65" s="497"/>
      <c r="Q65" s="497"/>
      <c r="R65" s="497"/>
      <c r="S65" s="497"/>
      <c r="T65" s="497"/>
      <c r="U65" s="497"/>
      <c r="V65" s="497"/>
      <c r="W65" s="497"/>
      <c r="X65" s="497"/>
    </row>
    <row r="66" spans="1:24">
      <c r="A66" s="876" t="s">
        <v>140</v>
      </c>
      <c r="B66" s="875">
        <v>206500</v>
      </c>
      <c r="C66" s="875">
        <v>5900</v>
      </c>
      <c r="D66" s="874"/>
      <c r="E66" s="873">
        <f>(B66*C66)/10^7</f>
        <v>121.83499999999999</v>
      </c>
      <c r="F66" s="261"/>
      <c r="L66" s="261"/>
    </row>
    <row r="67" spans="1:24">
      <c r="A67" s="876" t="s">
        <v>141</v>
      </c>
      <c r="B67" s="875">
        <v>49000</v>
      </c>
      <c r="C67" s="875">
        <f>C6</f>
        <v>5550</v>
      </c>
      <c r="D67" s="874"/>
      <c r="E67" s="873">
        <f>(B67*C67)/10^7</f>
        <v>27.195</v>
      </c>
      <c r="F67" s="261"/>
      <c r="L67" s="261"/>
    </row>
    <row r="68" spans="1:24">
      <c r="A68" s="872" t="s">
        <v>14</v>
      </c>
      <c r="B68" s="593"/>
      <c r="C68" s="593"/>
      <c r="D68" s="593"/>
      <c r="E68" s="33">
        <v>132.72999999999999</v>
      </c>
      <c r="F68" s="497">
        <f>E68+E68*1.55%</f>
        <v>134.78731499999998</v>
      </c>
      <c r="G68" s="497">
        <f>F68+F68*1.57%</f>
        <v>136.90347584549997</v>
      </c>
      <c r="H68" s="497">
        <f>G68+G68*1.43%</f>
        <v>138.86119555009063</v>
      </c>
      <c r="I68" s="497">
        <f>H68+H68*1.4%</f>
        <v>140.80525228779189</v>
      </c>
      <c r="J68" s="497">
        <f t="shared" ref="J68:X68" si="6">I68+I68*1.34%</f>
        <v>142.69204266844829</v>
      </c>
      <c r="K68" s="497">
        <f t="shared" si="6"/>
        <v>144.6041160402055</v>
      </c>
      <c r="L68" s="497">
        <f t="shared" si="6"/>
        <v>146.54181119514425</v>
      </c>
      <c r="M68" s="497">
        <f t="shared" si="6"/>
        <v>148.50547146515919</v>
      </c>
      <c r="N68" s="497">
        <f t="shared" si="6"/>
        <v>150.49544478279233</v>
      </c>
      <c r="O68" s="497">
        <f t="shared" si="6"/>
        <v>152.51208374288174</v>
      </c>
      <c r="P68" s="497">
        <f t="shared" si="6"/>
        <v>154.55574566503637</v>
      </c>
      <c r="Q68" s="497">
        <f t="shared" si="6"/>
        <v>156.62679265694786</v>
      </c>
      <c r="R68" s="497">
        <f t="shared" si="6"/>
        <v>158.72559167855096</v>
      </c>
      <c r="S68" s="497">
        <f t="shared" si="6"/>
        <v>160.85251460704353</v>
      </c>
      <c r="T68" s="497">
        <f t="shared" si="6"/>
        <v>163.00793830277792</v>
      </c>
      <c r="U68" s="497">
        <f t="shared" si="6"/>
        <v>165.19224467603513</v>
      </c>
      <c r="V68" s="497">
        <f t="shared" si="6"/>
        <v>167.40582075469399</v>
      </c>
      <c r="W68" s="497">
        <f t="shared" si="6"/>
        <v>169.64905875280689</v>
      </c>
      <c r="X68" s="497">
        <f t="shared" si="6"/>
        <v>171.92235614009451</v>
      </c>
    </row>
    <row r="69" spans="1:24">
      <c r="A69" s="267" t="s">
        <v>15</v>
      </c>
      <c r="B69" s="590"/>
      <c r="C69" s="590"/>
      <c r="D69" s="590"/>
      <c r="E69" s="268">
        <f>E70</f>
        <v>26.91</v>
      </c>
      <c r="F69" s="261"/>
      <c r="L69" s="261"/>
    </row>
    <row r="70" spans="1:24">
      <c r="A70" s="872" t="s">
        <v>16</v>
      </c>
      <c r="B70" s="593"/>
      <c r="C70" s="593"/>
      <c r="D70" s="593" t="s">
        <v>13</v>
      </c>
      <c r="E70" s="33">
        <f>'Salaries &amp; Wages Calculations'!D8</f>
        <v>26.91</v>
      </c>
    </row>
    <row r="71" spans="1:24">
      <c r="A71" s="267" t="s">
        <v>17</v>
      </c>
      <c r="B71" s="590"/>
      <c r="C71" s="590"/>
      <c r="D71" s="590"/>
      <c r="E71" s="268">
        <f>E73+E72</f>
        <v>157.19999999999999</v>
      </c>
      <c r="L71" s="261"/>
    </row>
    <row r="72" spans="1:24">
      <c r="A72" s="872" t="s">
        <v>18</v>
      </c>
      <c r="B72" s="593"/>
      <c r="C72" s="593"/>
      <c r="D72" s="593"/>
      <c r="E72" s="33">
        <v>39.200000000000003</v>
      </c>
    </row>
    <row r="73" spans="1:24">
      <c r="A73" s="872" t="s">
        <v>19</v>
      </c>
      <c r="B73" s="593"/>
      <c r="C73" s="593"/>
      <c r="D73" s="593"/>
      <c r="E73" s="33">
        <v>118</v>
      </c>
    </row>
    <row r="74" spans="1:24">
      <c r="A74" s="267" t="s">
        <v>20</v>
      </c>
      <c r="B74" s="590"/>
      <c r="C74" s="590"/>
      <c r="D74" s="590"/>
      <c r="E74" s="268">
        <f>E75+E76</f>
        <v>69.089377505903997</v>
      </c>
      <c r="L74" s="261"/>
    </row>
    <row r="75" spans="1:24">
      <c r="A75" s="872" t="s">
        <v>350</v>
      </c>
      <c r="B75" s="593"/>
      <c r="C75" s="593"/>
      <c r="D75" s="3">
        <v>1.4999999999999999E-2</v>
      </c>
      <c r="E75" s="165">
        <f>D75*Capex!D21</f>
        <v>62.391746517119991</v>
      </c>
    </row>
    <row r="76" spans="1:24">
      <c r="A76" s="871" t="s">
        <v>515</v>
      </c>
      <c r="B76" s="870"/>
      <c r="C76" s="870"/>
      <c r="D76" s="258">
        <v>7.4999999999999997E-2</v>
      </c>
      <c r="E76" s="271">
        <f>D76*(E75+E70)</f>
        <v>6.6976309887839998</v>
      </c>
    </row>
    <row r="77" spans="1:24">
      <c r="A77" s="267" t="s">
        <v>21</v>
      </c>
      <c r="B77" s="590"/>
      <c r="C77" s="590"/>
      <c r="D77" s="43"/>
      <c r="E77" s="268">
        <f>E79+E78</f>
        <v>82.541136536364348</v>
      </c>
      <c r="L77" s="260"/>
    </row>
    <row r="78" spans="1:24">
      <c r="A78" s="872" t="s">
        <v>442</v>
      </c>
      <c r="B78" s="593"/>
      <c r="C78" s="593"/>
      <c r="D78" s="3">
        <v>2.5000000000000001E-2</v>
      </c>
      <c r="E78" s="33">
        <f>Sales!E5*D18</f>
        <v>65.405820520833331</v>
      </c>
    </row>
    <row r="79" spans="1:24">
      <c r="A79" s="871" t="s">
        <v>397</v>
      </c>
      <c r="B79" s="870"/>
      <c r="C79" s="870"/>
      <c r="D79" s="258">
        <v>1.4999999999999999E-2</v>
      </c>
      <c r="E79" s="271">
        <f>E63*D79</f>
        <v>17.135316015531018</v>
      </c>
    </row>
    <row r="80" spans="1:24">
      <c r="A80" s="868" t="s">
        <v>22</v>
      </c>
      <c r="B80" s="868"/>
      <c r="C80" s="868"/>
      <c r="D80" s="868"/>
      <c r="E80" s="867">
        <f>E77+E63</f>
        <v>1224.8955375717655</v>
      </c>
    </row>
    <row r="82" spans="1:24">
      <c r="A82" s="1086" t="s">
        <v>567</v>
      </c>
      <c r="B82" s="1087"/>
      <c r="C82" s="588"/>
      <c r="D82" s="588"/>
      <c r="E82" s="266" t="s">
        <v>118</v>
      </c>
      <c r="F82" s="496">
        <v>2028</v>
      </c>
      <c r="G82" s="496">
        <v>2029</v>
      </c>
      <c r="H82" s="496">
        <v>2030</v>
      </c>
      <c r="I82" s="496">
        <v>2031</v>
      </c>
      <c r="J82" s="496">
        <v>2032</v>
      </c>
      <c r="K82" s="496">
        <v>2033</v>
      </c>
      <c r="L82" s="496">
        <v>2034</v>
      </c>
      <c r="M82" s="496">
        <v>2035</v>
      </c>
      <c r="N82" s="496">
        <v>2036</v>
      </c>
      <c r="O82" s="496">
        <v>2037</v>
      </c>
      <c r="P82" s="496">
        <v>2038</v>
      </c>
      <c r="Q82" s="496">
        <v>2039</v>
      </c>
      <c r="R82" s="496">
        <v>2040</v>
      </c>
      <c r="S82" s="496">
        <v>2041</v>
      </c>
      <c r="T82" s="496">
        <v>2042</v>
      </c>
      <c r="U82" s="496">
        <v>2043</v>
      </c>
      <c r="V82" s="496">
        <v>2044</v>
      </c>
      <c r="W82" s="496">
        <v>2045</v>
      </c>
      <c r="X82" s="496">
        <v>2046</v>
      </c>
    </row>
    <row r="83" spans="1:24">
      <c r="A83" s="282" t="s">
        <v>11</v>
      </c>
      <c r="B83" s="37" t="s">
        <v>76</v>
      </c>
      <c r="C83" s="37" t="s">
        <v>77</v>
      </c>
      <c r="D83" s="272"/>
      <c r="E83" s="273">
        <f>E84+E89+E91+E94+E88</f>
        <v>2023.5543775059043</v>
      </c>
    </row>
    <row r="84" spans="1:24">
      <c r="A84" s="618" t="s">
        <v>12</v>
      </c>
      <c r="B84" s="39" t="s">
        <v>79</v>
      </c>
      <c r="C84" s="39" t="s">
        <v>143</v>
      </c>
      <c r="D84" s="877"/>
      <c r="E84" s="619">
        <f>SUM(E85:E87)</f>
        <v>1614.9450000000002</v>
      </c>
      <c r="F84" s="497">
        <f>E84+E84*1.41%</f>
        <v>1637.7157245000001</v>
      </c>
      <c r="G84" s="497">
        <f>F84+F84*1.54%</f>
        <v>1662.9365466573001</v>
      </c>
      <c r="H84" s="497">
        <f>G84+G84*1.47%</f>
        <v>1687.3817138931624</v>
      </c>
      <c r="I84" s="497">
        <f>H84+H84*1.21%</f>
        <v>1707.7990326312697</v>
      </c>
      <c r="J84" s="497">
        <f>I84+I84*1.34%</f>
        <v>1730.6835396685287</v>
      </c>
      <c r="K84" s="497">
        <f>J84+J84*1.31%</f>
        <v>1753.3554940381864</v>
      </c>
      <c r="L84" s="497">
        <f>K84+K84*1.35%</f>
        <v>1777.025793207702</v>
      </c>
      <c r="M84" s="497">
        <f>L84+L84*1.5%</f>
        <v>1803.6811801058175</v>
      </c>
      <c r="N84" s="497">
        <f>M84+M84*1.04%</f>
        <v>1822.439464378918</v>
      </c>
      <c r="O84" s="497">
        <f>N84+N84*1.12%</f>
        <v>1842.8507863799618</v>
      </c>
      <c r="P84" s="497">
        <f>O84+O84*1.15%</f>
        <v>1864.0435704233314</v>
      </c>
      <c r="Q84" s="497">
        <f>P84+P84*1.05%</f>
        <v>1883.6160279127764</v>
      </c>
      <c r="R84" s="497">
        <f>Q84+Q84*1.03%</f>
        <v>1903.017273000278</v>
      </c>
      <c r="S84" s="497">
        <f>R84+R84*1.02%</f>
        <v>1922.4280491848808</v>
      </c>
      <c r="T84" s="497">
        <f>S84+S84*1.15%</f>
        <v>1944.5359717505069</v>
      </c>
      <c r="U84" s="497">
        <f>T84+T84*1.18%</f>
        <v>1967.4814962171629</v>
      </c>
      <c r="V84" s="497">
        <f>U84+U84*1.25%</f>
        <v>1992.0750149198775</v>
      </c>
      <c r="W84" s="497">
        <f>V84+V84*1.15%</f>
        <v>2014.9838775914561</v>
      </c>
      <c r="X84" s="497">
        <f>W84+W84*1.17%</f>
        <v>2038.5591889592761</v>
      </c>
    </row>
    <row r="85" spans="1:24">
      <c r="A85" s="876" t="s">
        <v>146</v>
      </c>
      <c r="B85" s="875">
        <v>161200</v>
      </c>
      <c r="C85" s="875">
        <v>84500</v>
      </c>
      <c r="D85" s="876"/>
      <c r="E85" s="875">
        <f>(B85*C85)/10^7</f>
        <v>1362.14</v>
      </c>
      <c r="F85" s="497"/>
      <c r="G85" s="497"/>
      <c r="H85" s="497"/>
      <c r="I85" s="497"/>
      <c r="J85" s="497"/>
      <c r="K85" s="497"/>
      <c r="L85" s="497"/>
      <c r="M85" s="497"/>
      <c r="N85" s="497"/>
      <c r="O85" s="497"/>
      <c r="P85" s="497"/>
      <c r="Q85" s="497"/>
      <c r="R85" s="497"/>
      <c r="S85" s="497"/>
      <c r="T85" s="497"/>
      <c r="U85" s="497"/>
      <c r="V85" s="497"/>
      <c r="W85" s="497"/>
      <c r="X85" s="497"/>
    </row>
    <row r="86" spans="1:24">
      <c r="A86" s="876" t="s">
        <v>140</v>
      </c>
      <c r="B86" s="875">
        <v>206500</v>
      </c>
      <c r="C86" s="875">
        <v>9300</v>
      </c>
      <c r="D86" s="874"/>
      <c r="E86" s="873">
        <f>(B86*C86)/10^7</f>
        <v>192.04499999999999</v>
      </c>
      <c r="F86" s="261"/>
      <c r="L86" s="261"/>
    </row>
    <row r="87" spans="1:24">
      <c r="A87" s="876" t="s">
        <v>141</v>
      </c>
      <c r="B87" s="875">
        <v>49000</v>
      </c>
      <c r="C87" s="875">
        <v>12400</v>
      </c>
      <c r="D87" s="874"/>
      <c r="E87" s="873">
        <f>(B87*C87)/10^7</f>
        <v>60.76</v>
      </c>
      <c r="F87" s="261"/>
      <c r="L87" s="261"/>
    </row>
    <row r="88" spans="1:24">
      <c r="A88" s="872" t="s">
        <v>14</v>
      </c>
      <c r="B88" s="593"/>
      <c r="C88" s="593"/>
      <c r="D88" s="593"/>
      <c r="E88" s="33">
        <v>155.41</v>
      </c>
      <c r="F88" s="497">
        <f>E88+E88*1.55%</f>
        <v>157.81885499999999</v>
      </c>
      <c r="G88" s="497">
        <f>F88+F88*1.57%</f>
        <v>160.29661102349999</v>
      </c>
      <c r="H88" s="497">
        <f>G88+G88*1.43%</f>
        <v>162.58885256113604</v>
      </c>
      <c r="I88" s="497">
        <f>H88+H88*1.4%</f>
        <v>164.86509649699195</v>
      </c>
      <c r="J88" s="497">
        <f t="shared" ref="J88:X88" si="7">I88+I88*1.34%</f>
        <v>167.07428879005164</v>
      </c>
      <c r="K88" s="497">
        <f t="shared" si="7"/>
        <v>169.31308425983832</v>
      </c>
      <c r="L88" s="497">
        <f t="shared" si="7"/>
        <v>171.58187958892015</v>
      </c>
      <c r="M88" s="497">
        <f t="shared" si="7"/>
        <v>173.88107677541169</v>
      </c>
      <c r="N88" s="497">
        <f t="shared" si="7"/>
        <v>176.2110832042022</v>
      </c>
      <c r="O88" s="497">
        <f t="shared" si="7"/>
        <v>178.5723117191385</v>
      </c>
      <c r="P88" s="497">
        <f t="shared" si="7"/>
        <v>180.96518069617494</v>
      </c>
      <c r="Q88" s="497">
        <f t="shared" si="7"/>
        <v>183.39011411750369</v>
      </c>
      <c r="R88" s="497">
        <f t="shared" si="7"/>
        <v>185.84754164667822</v>
      </c>
      <c r="S88" s="497">
        <f t="shared" si="7"/>
        <v>188.33789870474371</v>
      </c>
      <c r="T88" s="497">
        <f t="shared" si="7"/>
        <v>190.86162654738726</v>
      </c>
      <c r="U88" s="497">
        <f t="shared" si="7"/>
        <v>193.41917234312226</v>
      </c>
      <c r="V88" s="497">
        <f t="shared" si="7"/>
        <v>196.01098925252009</v>
      </c>
      <c r="W88" s="497">
        <f t="shared" si="7"/>
        <v>198.63753650850387</v>
      </c>
      <c r="X88" s="497">
        <f t="shared" si="7"/>
        <v>201.29927949771783</v>
      </c>
    </row>
    <row r="89" spans="1:24">
      <c r="A89" s="267" t="s">
        <v>15</v>
      </c>
      <c r="B89" s="590"/>
      <c r="C89" s="590"/>
      <c r="D89" s="590"/>
      <c r="E89" s="268">
        <f>E90</f>
        <v>26.91</v>
      </c>
      <c r="F89" s="261"/>
      <c r="L89" s="261"/>
    </row>
    <row r="90" spans="1:24">
      <c r="A90" s="872" t="s">
        <v>16</v>
      </c>
      <c r="B90" s="593"/>
      <c r="C90" s="593"/>
      <c r="D90" s="593" t="s">
        <v>13</v>
      </c>
      <c r="E90" s="33">
        <f>E70</f>
        <v>26.91</v>
      </c>
    </row>
    <row r="91" spans="1:24">
      <c r="A91" s="267" t="s">
        <v>17</v>
      </c>
      <c r="B91" s="590"/>
      <c r="C91" s="590"/>
      <c r="D91" s="590"/>
      <c r="E91" s="268">
        <f>E93+E92</f>
        <v>157.19999999999999</v>
      </c>
      <c r="L91" s="261"/>
    </row>
    <row r="92" spans="1:24">
      <c r="A92" s="872" t="s">
        <v>18</v>
      </c>
      <c r="B92" s="593"/>
      <c r="C92" s="593"/>
      <c r="D92" s="593"/>
      <c r="E92" s="33">
        <v>39.200000000000003</v>
      </c>
    </row>
    <row r="93" spans="1:24">
      <c r="A93" s="872" t="s">
        <v>19</v>
      </c>
      <c r="B93" s="593"/>
      <c r="C93" s="593"/>
      <c r="D93" s="593"/>
      <c r="E93" s="33">
        <v>118</v>
      </c>
    </row>
    <row r="94" spans="1:24">
      <c r="A94" s="267" t="s">
        <v>20</v>
      </c>
      <c r="B94" s="590"/>
      <c r="C94" s="590"/>
      <c r="D94" s="590"/>
      <c r="E94" s="268">
        <f>E95+E96</f>
        <v>69.089377505903997</v>
      </c>
      <c r="L94" s="261"/>
    </row>
    <row r="95" spans="1:24">
      <c r="A95" s="872" t="s">
        <v>350</v>
      </c>
      <c r="B95" s="593"/>
      <c r="C95" s="593"/>
      <c r="D95" s="3">
        <v>1.4999999999999999E-2</v>
      </c>
      <c r="E95" s="165">
        <f>E15</f>
        <v>62.391746517119991</v>
      </c>
    </row>
    <row r="96" spans="1:24">
      <c r="A96" s="871" t="s">
        <v>515</v>
      </c>
      <c r="B96" s="870"/>
      <c r="C96" s="870"/>
      <c r="D96" s="258">
        <v>7.4999999999999997E-2</v>
      </c>
      <c r="E96" s="271">
        <f>D96*(E95+E90)</f>
        <v>6.6976309887839998</v>
      </c>
    </row>
    <row r="97" spans="1:12">
      <c r="A97" s="267" t="s">
        <v>21</v>
      </c>
      <c r="B97" s="590"/>
      <c r="C97" s="590"/>
      <c r="D97" s="43"/>
      <c r="E97" s="268">
        <f>E99+E98</f>
        <v>123.79020212092189</v>
      </c>
      <c r="L97" s="260"/>
    </row>
    <row r="98" spans="1:12">
      <c r="A98" s="872" t="s">
        <v>442</v>
      </c>
      <c r="B98" s="593"/>
      <c r="C98" s="593"/>
      <c r="D98" s="3">
        <v>2.5000000000000001E-2</v>
      </c>
      <c r="E98" s="33">
        <f>E39</f>
        <v>93.436886458333333</v>
      </c>
    </row>
    <row r="99" spans="1:12">
      <c r="A99" s="871" t="s">
        <v>397</v>
      </c>
      <c r="B99" s="870"/>
      <c r="C99" s="870"/>
      <c r="D99" s="258">
        <v>1.4999999999999999E-2</v>
      </c>
      <c r="E99" s="271">
        <f>E83*D99</f>
        <v>30.353315662588564</v>
      </c>
    </row>
    <row r="100" spans="1:12">
      <c r="A100" s="869" t="s">
        <v>22</v>
      </c>
      <c r="B100" s="868"/>
      <c r="C100" s="868"/>
      <c r="D100" s="868"/>
      <c r="E100" s="867">
        <f>E97+E83</f>
        <v>2147.3445796268261</v>
      </c>
    </row>
  </sheetData>
  <mergeCells count="1">
    <mergeCell ref="A82:B82"/>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9325F-BCCC-47C6-8D18-0634DEA35A88}">
  <sheetPr codeName="Sheet9"/>
  <dimension ref="A1:XFD65"/>
  <sheetViews>
    <sheetView showGridLines="0" zoomScaleNormal="100" workbookViewId="0">
      <pane ySplit="8" topLeftCell="A35" activePane="bottomLeft" state="frozen"/>
      <selection activeCell="E28" sqref="E28"/>
      <selection pane="bottomLeft" activeCell="G35" sqref="G35"/>
    </sheetView>
  </sheetViews>
  <sheetFormatPr defaultColWidth="8.7109375" defaultRowHeight="12.75"/>
  <cols>
    <col min="1" max="1" width="8.85546875" style="58" bestFit="1" customWidth="1"/>
    <col min="2" max="2" width="60" style="1" bestFit="1" customWidth="1"/>
    <col min="3" max="3" width="20" style="1" bestFit="1" customWidth="1"/>
    <col min="4" max="4" width="8.140625" style="1" customWidth="1"/>
    <col min="5" max="5" width="20" style="1" bestFit="1" customWidth="1"/>
    <col min="6" max="6" width="12.28515625" style="1" customWidth="1"/>
    <col min="7" max="7" width="11.140625" style="1" customWidth="1"/>
    <col min="8" max="8" width="18" style="32" bestFit="1" customWidth="1"/>
    <col min="9" max="9" width="17.140625" style="32" customWidth="1"/>
    <col min="10" max="10" width="18.5703125" style="32" bestFit="1" customWidth="1"/>
    <col min="11" max="11" width="18.7109375" style="32" bestFit="1" customWidth="1"/>
    <col min="12" max="12" width="18.5703125" style="32" bestFit="1" customWidth="1"/>
    <col min="13" max="17" width="18.7109375" style="32" bestFit="1" customWidth="1"/>
    <col min="18" max="18" width="15" style="32" customWidth="1"/>
    <col min="19" max="19" width="16.28515625" style="32" customWidth="1"/>
    <col min="20" max="20" width="16.42578125" style="32" customWidth="1"/>
    <col min="21" max="21" width="18" style="32" customWidth="1"/>
    <col min="22" max="22" width="18.7109375" style="32" customWidth="1"/>
    <col min="23" max="23" width="19.140625" style="32" customWidth="1"/>
    <col min="24" max="24" width="20.42578125" style="32" customWidth="1"/>
    <col min="25" max="25" width="19" style="32" customWidth="1"/>
    <col min="26" max="26" width="19.28515625" style="32" customWidth="1"/>
    <col min="27" max="16384" width="8.7109375" style="1"/>
  </cols>
  <sheetData>
    <row r="1" spans="1:26 16384:16384" ht="21" customHeight="1">
      <c r="A1" s="1089" t="str">
        <f>'Opex PVC'!A1</f>
        <v>Capacity for 350 KTPA PVC Plant using Captive Ethylene</v>
      </c>
      <c r="B1" s="1090"/>
      <c r="C1" s="1090"/>
      <c r="D1" s="1090"/>
      <c r="E1" s="1090"/>
      <c r="F1" s="1090"/>
      <c r="G1" s="620"/>
      <c r="H1" s="620"/>
      <c r="I1" s="620"/>
      <c r="J1" s="620"/>
      <c r="K1" s="620"/>
      <c r="L1" s="620"/>
      <c r="M1" s="620"/>
      <c r="N1" s="620"/>
      <c r="O1" s="620"/>
      <c r="P1" s="620"/>
      <c r="Q1" s="620"/>
      <c r="R1" s="620"/>
      <c r="S1" s="620"/>
      <c r="T1" s="620"/>
      <c r="U1" s="620"/>
      <c r="V1" s="620"/>
      <c r="W1" s="620"/>
      <c r="X1" s="620"/>
      <c r="Y1" s="620"/>
      <c r="Z1" s="620"/>
      <c r="XFD1" s="1">
        <v>2023</v>
      </c>
    </row>
    <row r="2" spans="1:26 16384:16384" s="167" customFormat="1" ht="15" customHeight="1">
      <c r="A2" s="1089" t="s">
        <v>445</v>
      </c>
      <c r="B2" s="1090"/>
      <c r="C2" s="166">
        <v>1</v>
      </c>
      <c r="D2" s="166">
        <v>2</v>
      </c>
      <c r="E2" s="166">
        <v>3</v>
      </c>
      <c r="F2" s="166">
        <v>4</v>
      </c>
      <c r="G2" s="166"/>
      <c r="H2" s="166">
        <v>5</v>
      </c>
      <c r="I2" s="166">
        <v>6</v>
      </c>
      <c r="J2" s="166">
        <v>7</v>
      </c>
      <c r="K2" s="166">
        <v>8</v>
      </c>
      <c r="L2" s="166">
        <v>9</v>
      </c>
      <c r="M2" s="166">
        <v>10</v>
      </c>
      <c r="N2" s="166">
        <v>11</v>
      </c>
      <c r="O2" s="166">
        <v>12</v>
      </c>
      <c r="P2" s="166">
        <v>13</v>
      </c>
      <c r="Q2" s="166">
        <v>14</v>
      </c>
      <c r="R2" s="166">
        <v>15</v>
      </c>
      <c r="S2" s="166">
        <v>16</v>
      </c>
      <c r="T2" s="166">
        <v>17</v>
      </c>
      <c r="U2" s="166">
        <v>18</v>
      </c>
      <c r="V2" s="166">
        <v>19</v>
      </c>
      <c r="W2" s="166">
        <v>20</v>
      </c>
      <c r="X2" s="166">
        <v>21</v>
      </c>
      <c r="Y2" s="166">
        <v>22</v>
      </c>
      <c r="Z2" s="166">
        <v>23</v>
      </c>
      <c r="XFD2" s="1">
        <v>2024</v>
      </c>
    </row>
    <row r="3" spans="1:26 16384:16384" s="167" customFormat="1" ht="15" customHeight="1">
      <c r="A3" s="1098" t="s">
        <v>223</v>
      </c>
      <c r="B3" s="1099"/>
      <c r="C3" s="158"/>
      <c r="D3" s="158"/>
      <c r="E3" s="158"/>
      <c r="F3" s="158"/>
      <c r="G3" s="158"/>
      <c r="H3" s="168">
        <v>0.7</v>
      </c>
      <c r="I3" s="168">
        <v>0.9</v>
      </c>
      <c r="J3" s="168">
        <v>1</v>
      </c>
      <c r="K3" s="168">
        <v>1</v>
      </c>
      <c r="L3" s="168">
        <v>1</v>
      </c>
      <c r="M3" s="168">
        <v>1</v>
      </c>
      <c r="N3" s="168">
        <v>1</v>
      </c>
      <c r="O3" s="168">
        <v>1</v>
      </c>
      <c r="P3" s="168">
        <v>1</v>
      </c>
      <c r="Q3" s="168">
        <v>1</v>
      </c>
      <c r="R3" s="168">
        <v>1</v>
      </c>
      <c r="S3" s="168">
        <v>1</v>
      </c>
      <c r="T3" s="168">
        <v>1</v>
      </c>
      <c r="U3" s="168">
        <v>1</v>
      </c>
      <c r="V3" s="168">
        <v>1</v>
      </c>
      <c r="W3" s="168">
        <v>1</v>
      </c>
      <c r="X3" s="168">
        <v>1</v>
      </c>
      <c r="Y3" s="168">
        <v>1</v>
      </c>
      <c r="Z3" s="168">
        <v>1</v>
      </c>
      <c r="XFD3" s="1">
        <v>2025</v>
      </c>
    </row>
    <row r="4" spans="1:26 16384:16384" ht="15" customHeight="1">
      <c r="A4" s="1096" t="s">
        <v>24</v>
      </c>
      <c r="B4" s="1097"/>
      <c r="C4" s="169"/>
      <c r="D4" s="169"/>
      <c r="E4" s="169"/>
      <c r="F4" s="169"/>
      <c r="G4" s="170"/>
      <c r="H4" s="1088" t="s">
        <v>25</v>
      </c>
      <c r="I4" s="1088"/>
      <c r="J4" s="1088"/>
      <c r="K4" s="1088"/>
      <c r="L4" s="1088"/>
      <c r="M4" s="1088"/>
      <c r="N4" s="1088"/>
      <c r="O4" s="1088"/>
      <c r="P4" s="1088"/>
      <c r="Q4" s="1088"/>
      <c r="R4" s="1088" t="s">
        <v>25</v>
      </c>
      <c r="S4" s="1088"/>
      <c r="T4" s="1088"/>
      <c r="U4" s="1088"/>
      <c r="V4" s="1088"/>
      <c r="W4" s="1088"/>
      <c r="X4" s="1088"/>
      <c r="Y4" s="1088"/>
      <c r="Z4" s="1088"/>
      <c r="XFD4" s="1">
        <v>2026</v>
      </c>
    </row>
    <row r="5" spans="1:26 16384:16384">
      <c r="A5" s="239"/>
      <c r="B5" s="1091"/>
      <c r="C5" s="534">
        <v>2023</v>
      </c>
      <c r="D5" s="895">
        <v>2024</v>
      </c>
      <c r="E5" s="895">
        <v>2025</v>
      </c>
      <c r="F5" s="895">
        <v>2026</v>
      </c>
      <c r="G5" s="895" t="s">
        <v>151</v>
      </c>
      <c r="H5" s="895">
        <v>2027</v>
      </c>
      <c r="I5" s="895">
        <v>2028</v>
      </c>
      <c r="J5" s="895">
        <v>2029</v>
      </c>
      <c r="K5" s="895">
        <v>2030</v>
      </c>
      <c r="L5" s="895">
        <v>2031</v>
      </c>
      <c r="M5" s="895">
        <v>2032</v>
      </c>
      <c r="N5" s="895">
        <v>2033</v>
      </c>
      <c r="O5" s="895">
        <v>2034</v>
      </c>
      <c r="P5" s="895">
        <v>2035</v>
      </c>
      <c r="Q5" s="895">
        <v>2036</v>
      </c>
      <c r="R5" s="895">
        <v>2037</v>
      </c>
      <c r="S5" s="895">
        <v>2038</v>
      </c>
      <c r="T5" s="895">
        <v>2039</v>
      </c>
      <c r="U5" s="895">
        <v>2040</v>
      </c>
      <c r="V5" s="895">
        <v>2041</v>
      </c>
      <c r="W5" s="895">
        <v>2042</v>
      </c>
      <c r="X5" s="895">
        <v>2043</v>
      </c>
      <c r="Y5" s="895">
        <v>2044</v>
      </c>
      <c r="Z5" s="896">
        <v>2045</v>
      </c>
      <c r="XFD5" s="1">
        <v>2027</v>
      </c>
    </row>
    <row r="6" spans="1:26 16384:16384">
      <c r="A6" s="240"/>
      <c r="B6" s="1092"/>
      <c r="C6" s="172">
        <v>0.05</v>
      </c>
      <c r="D6" s="172">
        <v>0.25</v>
      </c>
      <c r="E6" s="172">
        <v>0.35</v>
      </c>
      <c r="F6" s="172">
        <v>0.35</v>
      </c>
      <c r="G6" s="173"/>
      <c r="H6" s="174"/>
      <c r="I6" s="174"/>
      <c r="J6" s="174"/>
      <c r="K6" s="174"/>
      <c r="L6" s="174"/>
      <c r="M6" s="174"/>
      <c r="N6" s="175"/>
      <c r="O6" s="174"/>
      <c r="P6" s="175"/>
      <c r="Q6" s="174"/>
      <c r="R6" s="176"/>
      <c r="S6" s="176"/>
      <c r="T6" s="176"/>
      <c r="U6" s="176"/>
      <c r="V6" s="176"/>
      <c r="W6" s="176"/>
      <c r="X6" s="176"/>
      <c r="Y6" s="176"/>
      <c r="Z6" s="176"/>
      <c r="XFD6" s="1">
        <v>2028</v>
      </c>
    </row>
    <row r="7" spans="1:26 16384:16384" ht="19.5" customHeight="1">
      <c r="A7" s="1094" t="s">
        <v>243</v>
      </c>
      <c r="B7" s="1095"/>
      <c r="C7" s="1095"/>
      <c r="D7" s="1095"/>
      <c r="E7" s="1095"/>
      <c r="F7" s="1095"/>
      <c r="G7" s="1095"/>
      <c r="H7" s="177"/>
      <c r="I7" s="177"/>
      <c r="J7" s="177"/>
      <c r="K7" s="177"/>
      <c r="L7" s="177"/>
      <c r="M7" s="177"/>
      <c r="N7" s="178"/>
      <c r="O7" s="177"/>
      <c r="P7" s="178"/>
      <c r="Q7" s="177"/>
      <c r="R7" s="179"/>
      <c r="S7" s="179"/>
      <c r="T7" s="179"/>
      <c r="U7" s="179"/>
      <c r="V7" s="179"/>
      <c r="W7" s="179"/>
      <c r="X7" s="179"/>
      <c r="Y7" s="179"/>
      <c r="Z7" s="179"/>
      <c r="XFD7" s="1">
        <v>2029</v>
      </c>
    </row>
    <row r="8" spans="1:26 16384:16384" ht="21.75" customHeight="1">
      <c r="A8" s="180">
        <v>1</v>
      </c>
      <c r="B8" s="181" t="s">
        <v>241</v>
      </c>
      <c r="C8" s="182">
        <f>ROUND($G8*C$6,2)</f>
        <v>207.97</v>
      </c>
      <c r="D8" s="182">
        <f>ROUND($G8*D$6,2)</f>
        <v>1039.8599999999999</v>
      </c>
      <c r="E8" s="182">
        <f>ROUND($G8*E$6,2)</f>
        <v>1455.81</v>
      </c>
      <c r="F8" s="182">
        <f>ROUND($G8*F$6,2)</f>
        <v>1455.81</v>
      </c>
      <c r="G8" s="244">
        <f>Capex!D21</f>
        <v>4159.4497678079997</v>
      </c>
      <c r="H8" s="183"/>
      <c r="I8" s="184"/>
      <c r="J8" s="183"/>
      <c r="K8" s="183"/>
      <c r="L8" s="183"/>
      <c r="M8" s="183"/>
      <c r="N8" s="185"/>
      <c r="O8" s="183"/>
      <c r="P8" s="183"/>
      <c r="Q8" s="183"/>
      <c r="R8" s="186"/>
      <c r="S8" s="186"/>
      <c r="T8" s="186"/>
      <c r="U8" s="186"/>
      <c r="V8" s="186"/>
      <c r="W8" s="186"/>
      <c r="X8" s="186"/>
      <c r="Y8" s="186"/>
      <c r="Z8" s="186"/>
      <c r="XFD8" s="1">
        <v>2030</v>
      </c>
    </row>
    <row r="9" spans="1:26 16384:16384" s="167" customFormat="1" ht="25.5" customHeight="1">
      <c r="A9" s="187"/>
      <c r="B9" s="188" t="s">
        <v>242</v>
      </c>
      <c r="C9" s="189">
        <f>SUM(C8:C8)</f>
        <v>207.97</v>
      </c>
      <c r="D9" s="189">
        <f>SUM(D8:D8)</f>
        <v>1039.8599999999999</v>
      </c>
      <c r="E9" s="189">
        <f>SUM(E8:E8)</f>
        <v>1455.81</v>
      </c>
      <c r="F9" s="189">
        <f>SUM(F8:F8)</f>
        <v>1455.81</v>
      </c>
      <c r="G9" s="190">
        <f>-G8</f>
        <v>-4159.4497678079997</v>
      </c>
      <c r="H9" s="191"/>
      <c r="I9" s="191"/>
      <c r="J9" s="191"/>
      <c r="K9" s="191"/>
      <c r="L9" s="191"/>
      <c r="M9" s="191"/>
      <c r="N9" s="192"/>
      <c r="O9" s="192"/>
      <c r="P9" s="192"/>
      <c r="Q9" s="192"/>
      <c r="R9" s="193"/>
      <c r="S9" s="193"/>
      <c r="T9" s="193"/>
      <c r="U9" s="193"/>
      <c r="V9" s="193"/>
      <c r="W9" s="193"/>
      <c r="X9" s="193"/>
      <c r="Y9" s="193"/>
      <c r="Z9" s="193"/>
      <c r="XFD9" s="1">
        <v>2031</v>
      </c>
    </row>
    <row r="10" spans="1:26 16384:16384">
      <c r="A10" s="194">
        <v>2</v>
      </c>
      <c r="B10" s="195" t="s">
        <v>27</v>
      </c>
      <c r="C10" s="195"/>
      <c r="D10" s="195"/>
      <c r="E10" s="195"/>
      <c r="F10" s="195"/>
      <c r="G10" s="196"/>
      <c r="H10" s="197">
        <f>H11</f>
        <v>1831.362974583333</v>
      </c>
      <c r="I10" s="197">
        <f t="shared" ref="I10:Z10" si="0">I11</f>
        <v>2490.0937716096746</v>
      </c>
      <c r="J10" s="197">
        <f t="shared" si="0"/>
        <v>2925.9708524756611</v>
      </c>
      <c r="K10" s="197">
        <f t="shared" si="0"/>
        <v>3094.3312153271104</v>
      </c>
      <c r="L10" s="197">
        <f t="shared" si="0"/>
        <v>3272.3790334570317</v>
      </c>
      <c r="M10" s="197">
        <f t="shared" si="0"/>
        <v>3460.6717230421491</v>
      </c>
      <c r="N10" s="197">
        <f t="shared" si="0"/>
        <v>3659.7987739859932</v>
      </c>
      <c r="O10" s="197">
        <f t="shared" si="0"/>
        <v>3870.3835954411475</v>
      </c>
      <c r="P10" s="197">
        <f t="shared" si="0"/>
        <v>4093.0854675228293</v>
      </c>
      <c r="Q10" s="197">
        <f t="shared" si="0"/>
        <v>4328.6016053240928</v>
      </c>
      <c r="R10" s="197">
        <f t="shared" si="0"/>
        <v>4577.6693416944408</v>
      </c>
      <c r="S10" s="197">
        <f t="shared" si="0"/>
        <v>4841.0684356155389</v>
      </c>
      <c r="T10" s="197">
        <f t="shared" si="0"/>
        <v>5119.6235134008557</v>
      </c>
      <c r="U10" s="197">
        <f t="shared" si="0"/>
        <v>5414.2066503619417</v>
      </c>
      <c r="V10" s="197">
        <f t="shared" si="0"/>
        <v>5725.7401010237663</v>
      </c>
      <c r="W10" s="197">
        <f t="shared" si="0"/>
        <v>6055.1991864366746</v>
      </c>
      <c r="X10" s="197">
        <f t="shared" si="0"/>
        <v>6403.615347624238</v>
      </c>
      <c r="Y10" s="197">
        <f t="shared" si="0"/>
        <v>6772.0793747265361</v>
      </c>
      <c r="Z10" s="197">
        <f t="shared" si="0"/>
        <v>7161.7448219482994</v>
      </c>
      <c r="XFD10" s="1">
        <v>2032</v>
      </c>
    </row>
    <row r="11" spans="1:26 16384:16384" s="167" customFormat="1">
      <c r="A11" s="52"/>
      <c r="B11" s="162" t="s">
        <v>87</v>
      </c>
      <c r="C11" s="162"/>
      <c r="D11" s="162"/>
      <c r="E11" s="162"/>
      <c r="F11" s="162"/>
      <c r="G11" s="198">
        <v>1</v>
      </c>
      <c r="H11" s="199">
        <f>IF(H$2&lt;=$C$46,0,Sales!E5*H$3*(1+$C$45)^(H$2-$C$46-1))</f>
        <v>1831.362974583333</v>
      </c>
      <c r="I11" s="199">
        <f>IF(I$2&lt;=$C$46,0,Sales!F5*I$3*(1+$C$45)^(I$2-$C$46-1))</f>
        <v>2490.0937716096746</v>
      </c>
      <c r="J11" s="199">
        <f>IF(J$2&lt;=$C$46,0,Sales!G5*J$3*(1+$C$45)^(J$2-$C$46-1))</f>
        <v>2925.9708524756611</v>
      </c>
      <c r="K11" s="199">
        <f>IF(K$2&lt;=$C$46,0,Sales!H5*K$3*(1+$C$45)^(K$2-$C$46-1))</f>
        <v>3094.3312153271104</v>
      </c>
      <c r="L11" s="199">
        <f>IF(L$2&lt;=$C$46,0,Sales!I5*L$3*(1+$C$45)^(L$2-$C$46-1))</f>
        <v>3272.3790334570317</v>
      </c>
      <c r="M11" s="199">
        <f>IF(M$2&lt;=$C$46,0,Sales!J5*M$3*(1+$C$45)^(M$2-$C$46-1))</f>
        <v>3460.6717230421491</v>
      </c>
      <c r="N11" s="199">
        <f>IF(N$2&lt;=$C$46,0,Sales!K5*N$3*(1+$C$45)^(N$2-$C$46-1))</f>
        <v>3659.7987739859932</v>
      </c>
      <c r="O11" s="199">
        <f>IF(O$2&lt;=$C$46,0,Sales!L5*O$3*(1+$C$45)^(O$2-$C$46-1))</f>
        <v>3870.3835954411475</v>
      </c>
      <c r="P11" s="199">
        <f>IF(P$2&lt;=$C$46,0,Sales!M5*P$3*(1+$C$45)^(P$2-$C$46-1))</f>
        <v>4093.0854675228293</v>
      </c>
      <c r="Q11" s="199">
        <f>IF(Q$2&lt;=$C$46,0,Sales!N5*Q$3*(1+$C$45)^(Q$2-$C$46-1))</f>
        <v>4328.6016053240928</v>
      </c>
      <c r="R11" s="199">
        <f>IF(R$2&lt;=$C$46,0,Sales!O5*R$3*(1+$C$45)^(R$2-$C$46-1))</f>
        <v>4577.6693416944408</v>
      </c>
      <c r="S11" s="199">
        <f>IF(S$2&lt;=$C$46,0,Sales!P5*S$3*(1+$C$45)^(S$2-$C$46-1))</f>
        <v>4841.0684356155389</v>
      </c>
      <c r="T11" s="199">
        <f>IF(T$2&lt;=$C$46,0,Sales!Q5*T$3*(1+$C$45)^(T$2-$C$46-1))</f>
        <v>5119.6235134008557</v>
      </c>
      <c r="U11" s="199">
        <f>IF(U$2&lt;=$C$46,0,Sales!R5*U$3*(1+$C$45)^(U$2-$C$46-1))</f>
        <v>5414.2066503619417</v>
      </c>
      <c r="V11" s="199">
        <f>IF(V$2&lt;=$C$46,0,Sales!S5*V$3*(1+$C$45)^(V$2-$C$46-1))</f>
        <v>5725.7401010237663</v>
      </c>
      <c r="W11" s="199">
        <f>IF(W$2&lt;=$C$46,0,Sales!T5*W$3*(1+$C$45)^(W$2-$C$46-1))</f>
        <v>6055.1991864366746</v>
      </c>
      <c r="X11" s="199">
        <f>IF(X$2&lt;=$C$46,0,Sales!U5*X$3*(1+$C$45)^(X$2-$C$46-1))</f>
        <v>6403.615347624238</v>
      </c>
      <c r="Y11" s="199">
        <f>IF(Y$2&lt;=$C$46,0,Sales!V5*Y$3*(1+$C$45)^(Y$2-$C$46-1))</f>
        <v>6772.0793747265361</v>
      </c>
      <c r="Z11" s="199">
        <f>IF(Z$2&lt;=$C$46,0,Sales!W5*Z$3*(1+$C$45)^(Z$2-$C$46-1))</f>
        <v>7161.7448219482994</v>
      </c>
      <c r="XFD11" s="1">
        <v>2033</v>
      </c>
    </row>
    <row r="12" spans="1:26 16384:16384">
      <c r="A12" s="52"/>
      <c r="B12" s="200"/>
      <c r="C12" s="200"/>
      <c r="D12" s="200"/>
      <c r="E12" s="200"/>
      <c r="F12" s="200"/>
      <c r="G12" s="201"/>
      <c r="H12" s="202"/>
      <c r="I12" s="202"/>
      <c r="J12" s="202"/>
      <c r="K12" s="202"/>
      <c r="L12" s="202"/>
      <c r="M12" s="202"/>
      <c r="N12" s="202"/>
      <c r="O12" s="202"/>
      <c r="P12" s="202"/>
      <c r="Q12" s="202"/>
      <c r="R12" s="202"/>
      <c r="S12" s="202"/>
      <c r="T12" s="202"/>
      <c r="U12" s="202"/>
      <c r="V12" s="202"/>
      <c r="W12" s="202"/>
      <c r="X12" s="202"/>
      <c r="Y12" s="202"/>
      <c r="Z12" s="202"/>
      <c r="XFD12" s="1">
        <v>2034</v>
      </c>
    </row>
    <row r="13" spans="1:26 16384:16384">
      <c r="A13" s="194">
        <v>3</v>
      </c>
      <c r="B13" s="195" t="s">
        <v>107</v>
      </c>
      <c r="C13" s="195"/>
      <c r="D13" s="195"/>
      <c r="E13" s="195"/>
      <c r="F13" s="195"/>
      <c r="G13" s="207"/>
      <c r="H13" s="183"/>
      <c r="I13" s="183"/>
      <c r="J13" s="183"/>
      <c r="K13" s="183"/>
      <c r="L13" s="183"/>
      <c r="M13" s="183"/>
      <c r="N13" s="183"/>
      <c r="O13" s="183"/>
      <c r="P13" s="183"/>
      <c r="Q13" s="183"/>
      <c r="R13" s="186"/>
      <c r="S13" s="186"/>
      <c r="T13" s="186"/>
      <c r="U13" s="186"/>
      <c r="V13" s="186"/>
      <c r="W13" s="186"/>
      <c r="X13" s="186"/>
      <c r="Y13" s="186"/>
      <c r="Z13" s="186"/>
      <c r="XFD13" s="1">
        <v>2035</v>
      </c>
    </row>
    <row r="14" spans="1:26 16384:16384">
      <c r="A14" s="52"/>
      <c r="B14" s="17" t="s">
        <v>28</v>
      </c>
      <c r="C14" s="17"/>
      <c r="D14" s="17"/>
      <c r="E14" s="17"/>
      <c r="F14" s="263"/>
      <c r="G14" s="208">
        <f t="shared" ref="G14:G19" si="1">J14/$J$20</f>
        <v>0.64074822639097051</v>
      </c>
      <c r="H14" s="199">
        <f>IF(H$2&lt;=$C$46,0,'Opex PVC'!E3*H$3*(1+$C$45)^(H$2-$C$46-1))</f>
        <v>529.49751647064807</v>
      </c>
      <c r="I14" s="199">
        <f>IF(I$2&lt;=$C$46,0,'Opex PVC'!F3*I$3*(1+$C$45)^(I$2-$C$46-1))</f>
        <v>721.44872468776794</v>
      </c>
      <c r="J14" s="199">
        <f>IF(J$2&lt;=$C$46,0,'Opex PVC'!G3*J$3*(1+$C$45)^(J$2-$C$46-1))</f>
        <v>850.58243513901971</v>
      </c>
      <c r="K14" s="199">
        <f>IF(K$2&lt;=$C$46,0,'Opex PVC'!H3*K$3*(1+$C$45)^(K$2-$C$46-1))</f>
        <v>901.92486679766364</v>
      </c>
      <c r="L14" s="199">
        <f>IF(L$2&lt;=$C$46,0,'Opex PVC'!I3*L$3*(1+$C$45)^(L$2-$C$46-1))</f>
        <v>953.91587478178133</v>
      </c>
      <c r="M14" s="199">
        <f>IF(M$2&lt;=$C$46,0,'Opex PVC'!J3*M$3*(1+$C$45)^(M$2-$C$46-1))</f>
        <v>1010.1997731415307</v>
      </c>
      <c r="N14" s="199">
        <f>IF(N$2&lt;=$C$46,0,'Opex PVC'!K3*N$3*(1+$C$45)^(N$2-$C$46-1))</f>
        <v>1069.4878927273203</v>
      </c>
      <c r="O14" s="199">
        <f>IF(O$2&lt;=$C$46,0,'Opex PVC'!L3*O$3*(1+$C$45)^(O$2-$C$46-1))</f>
        <v>1132.7026483467005</v>
      </c>
      <c r="P14" s="199">
        <f>IF(P$2&lt;=$C$46,0,'Opex PVC'!M3*P$3*(1+$C$45)^(P$2-$C$46-1))</f>
        <v>1201.4293815351361</v>
      </c>
      <c r="Q14" s="199">
        <f>IF(Q$2&lt;=$C$46,0,'Opex PVC'!N3*Q$3*(1+$C$45)^(Q$2-$C$46-1))</f>
        <v>1268.550838222741</v>
      </c>
      <c r="R14" s="199">
        <f>IF(R$2&lt;=$C$46,0,'Opex PVC'!O3*R$3*(1+$C$45)^(R$2-$C$46-1))</f>
        <v>1340.4827449533232</v>
      </c>
      <c r="S14" s="199">
        <f>IF(S$2&lt;=$C$46,0,'Opex PVC'!P3*S$3*(1+$C$45)^(S$2-$C$46-1))</f>
        <v>1416.9137198636993</v>
      </c>
      <c r="T14" s="199">
        <f>IF(T$2&lt;=$C$46,0,'Opex PVC'!Q3*T$3*(1+$C$45)^(T$2-$C$46-1))</f>
        <v>1496.2219230487697</v>
      </c>
      <c r="U14" s="199">
        <f>IF(U$2&lt;=$C$46,0,'Opex PVC'!R3*U$3*(1+$C$45)^(U$2-$C$46-1))</f>
        <v>1579.6564942547</v>
      </c>
      <c r="V14" s="199">
        <f>IF(V$2&lt;=$C$46,0,'Opex PVC'!S3*V$3*(1+$C$45)^(V$2-$C$46-1))</f>
        <v>1667.5785950684217</v>
      </c>
      <c r="W14" s="199">
        <f>IF(W$2&lt;=$C$46,0,'Opex PVC'!T3*W$3*(1+$C$45)^(W$2-$C$46-1))</f>
        <v>1762.6597576127356</v>
      </c>
      <c r="X14" s="199">
        <f>IF(X$2&lt;=$C$46,0,'Opex PVC'!U3*X$3*(1+$C$45)^(X$2-$C$46-1))</f>
        <v>1863.7148041764306</v>
      </c>
      <c r="Y14" s="199">
        <f>IF(Y$2&lt;=$C$46,0,'Opex PVC'!V3*Y$3*(1+$C$45)^(Y$2-$C$46-1))</f>
        <v>1971.9267449939246</v>
      </c>
      <c r="Z14" s="199">
        <f>IF(Z$2&lt;=$C$46,0,'Opex PVC'!W3*Z$3*(1+$C$45)^(Z$2-$C$46-1))</f>
        <v>2084.3610781766151</v>
      </c>
      <c r="XFD14" s="1">
        <v>2036</v>
      </c>
    </row>
    <row r="15" spans="1:26 16384:16384">
      <c r="A15" s="52"/>
      <c r="B15" s="17" t="s">
        <v>328</v>
      </c>
      <c r="C15" s="17"/>
      <c r="D15" s="17"/>
      <c r="E15" s="17"/>
      <c r="F15" s="17"/>
      <c r="G15" s="208">
        <f t="shared" si="1"/>
        <v>8.6970672662633253E-2</v>
      </c>
      <c r="H15" s="199">
        <f>IF(H$2&lt;=$C$46,0,'Opex PVC'!E8*H$3*(1+$C$45)^(H$2-$C$46-1))</f>
        <v>71.75</v>
      </c>
      <c r="I15" s="199">
        <f>IF(I$2&lt;=$C$46,0,'Opex PVC'!F8*I$3*(1+$C$45)^(I$2-$C$46-1))</f>
        <v>97.895469375000005</v>
      </c>
      <c r="J15" s="199">
        <f>IF(J$2&lt;=$C$46,0,'Opex PVC'!G8*J$3*(1+$C$45)^(J$2-$C$46-1))</f>
        <v>115.45209723908435</v>
      </c>
      <c r="K15" s="199">
        <f>IF(K$2&lt;=$C$46,0,'Opex PVC'!H8*K$3*(1+$C$45)^(K$2-$C$46-1))</f>
        <v>122.37270002993542</v>
      </c>
      <c r="L15" s="199">
        <f>IF(L$2&lt;=$C$46,0,'Opex PVC'!I8*L$3*(1+$C$45)^(L$2-$C$46-1))</f>
        <v>129.66978413272042</v>
      </c>
      <c r="M15" s="199">
        <f>IF(M$2&lt;=$C$46,0,'Opex PVC'!J8*M$3*(1+$C$45)^(M$2-$C$46-1))</f>
        <v>137.32069040590332</v>
      </c>
      <c r="N15" s="199">
        <f>IF(N$2&lt;=$C$46,0,'Opex PVC'!K8*N$3*(1+$C$45)^(N$2-$C$46-1))</f>
        <v>145.42302310192281</v>
      </c>
      <c r="O15" s="199">
        <f>IF(O$2&lt;=$C$46,0,'Opex PVC'!L8*O$3*(1+$C$45)^(O$2-$C$46-1))</f>
        <v>154.00341773400555</v>
      </c>
      <c r="P15" s="199">
        <f>IF(P$2&lt;=$C$46,0,'Opex PVC'!M8*P$3*(1+$C$45)^(P$2-$C$46-1))</f>
        <v>163.09008139056505</v>
      </c>
      <c r="Q15" s="199">
        <f>IF(Q$2&lt;=$C$46,0,'Opex PVC'!N8*Q$3*(1+$C$45)^(Q$2-$C$46-1))</f>
        <v>172.71288546285257</v>
      </c>
      <c r="R15" s="199">
        <f>IF(R$2&lt;=$C$46,0,'Opex PVC'!O8*R$3*(1+$C$45)^(R$2-$C$46-1))</f>
        <v>182.90346384381721</v>
      </c>
      <c r="S15" s="199">
        <f>IF(S$2&lt;=$C$46,0,'Opex PVC'!P8*S$3*(1+$C$45)^(S$2-$C$46-1))</f>
        <v>193.69531692099395</v>
      </c>
      <c r="T15" s="199">
        <f>IF(T$2&lt;=$C$46,0,'Opex PVC'!Q8*T$3*(1+$C$45)^(T$2-$C$46-1))</f>
        <v>205.12392170528332</v>
      </c>
      <c r="U15" s="199">
        <f>IF(U$2&lt;=$C$46,0,'Opex PVC'!R8*U$3*(1+$C$45)^(U$2-$C$46-1))</f>
        <v>217.22684845766017</v>
      </c>
      <c r="V15" s="199">
        <f>IF(V$2&lt;=$C$46,0,'Opex PVC'!S8*V$3*(1+$C$45)^(V$2-$C$46-1))</f>
        <v>230.04388419720743</v>
      </c>
      <c r="W15" s="199">
        <f>IF(W$2&lt;=$C$46,0,'Opex PVC'!T8*W$3*(1+$C$45)^(W$2-$C$46-1))</f>
        <v>243.61716349649529</v>
      </c>
      <c r="X15" s="199">
        <f>IF(X$2&lt;=$C$46,0,'Opex PVC'!U8*X$3*(1+$C$45)^(X$2-$C$46-1))</f>
        <v>257.99130699427889</v>
      </c>
      <c r="Y15" s="199">
        <f>IF(Y$2&lt;=$C$46,0,'Opex PVC'!V8*Y$3*(1+$C$45)^(Y$2-$C$46-1))</f>
        <v>273.21356808086233</v>
      </c>
      <c r="Z15" s="199">
        <f>IF(Z$2&lt;=$C$46,0,'Opex PVC'!W8*Z$3*(1+$C$45)^(Z$2-$C$46-1))</f>
        <v>289.33398823833738</v>
      </c>
      <c r="XFD15" s="1">
        <v>2037</v>
      </c>
    </row>
    <row r="16" spans="1:26 16384:16384">
      <c r="A16" s="52"/>
      <c r="B16" s="17" t="s">
        <v>29</v>
      </c>
      <c r="C16" s="17"/>
      <c r="D16" s="17"/>
      <c r="E16" s="17"/>
      <c r="F16" s="17"/>
      <c r="G16" s="208">
        <f t="shared" si="1"/>
        <v>2.2136924367023289E-2</v>
      </c>
      <c r="H16" s="199">
        <f>IF(H$2&lt;=$C$46,0,'Opex PVC'!$E$9*(1+$C$45)^(H$2-$C$46-1))</f>
        <v>26.91</v>
      </c>
      <c r="I16" s="199">
        <f>IF(I$2&lt;=$C$46,0,'Opex PVC'!$E$9*(1+$C$45)^(I$2-$C$46-1))</f>
        <v>28.120949999999997</v>
      </c>
      <c r="J16" s="199">
        <f>IF(J$2&lt;=$C$46,0,'Opex PVC'!$E$9*(1+$C$45)^(J$2-$C$46-1))</f>
        <v>29.386392749999995</v>
      </c>
      <c r="K16" s="199">
        <f>IF(K$2&lt;=$C$46,0,'Opex PVC'!$E$9*(1+$C$45)^(K$2-$C$46-1))</f>
        <v>30.708780423749996</v>
      </c>
      <c r="L16" s="199">
        <f>IF(L$2&lt;=$C$46,0,'Opex PVC'!$E$9*(1+$C$45)^(L$2-$C$46-1))</f>
        <v>32.090675542818737</v>
      </c>
      <c r="M16" s="199">
        <f>IF(M$2&lt;=$C$46,0,'Opex PVC'!$E$9*(1+$C$45)^(M$2-$C$46-1))</f>
        <v>33.534755942245582</v>
      </c>
      <c r="N16" s="199">
        <f>IF(N$2&lt;=$C$46,0,'Opex PVC'!$E$9*(1+$C$45)^(N$2-$C$46-1))</f>
        <v>35.043819959646619</v>
      </c>
      <c r="O16" s="199">
        <f>IF(O$2&lt;=$C$46,0,'Opex PVC'!$E$9*(1+$C$45)^(O$2-$C$46-1))</f>
        <v>36.620791857830724</v>
      </c>
      <c r="P16" s="199">
        <f>IF(P$2&lt;=$C$46,0,'Opex PVC'!$E$9*(1+$C$45)^(P$2-$C$46-1))</f>
        <v>38.26872749143309</v>
      </c>
      <c r="Q16" s="199">
        <f>IF(Q$2&lt;=$C$46,0,'Opex PVC'!$E$9*(1+$C$45)^(Q$2-$C$46-1))</f>
        <v>39.990820228547577</v>
      </c>
      <c r="R16" s="199">
        <f>IF(R$2&lt;=$C$46,0,'Opex PVC'!$E$9*(1+$C$45)^(R$2-$C$46-1))</f>
        <v>41.790407138832215</v>
      </c>
      <c r="S16" s="199">
        <f>IF(S$2&lt;=$C$46,0,'Opex PVC'!$E$9*(1+$C$45)^(S$2-$C$46-1))</f>
        <v>43.67097546007966</v>
      </c>
      <c r="T16" s="199">
        <f>IF(T$2&lt;=$C$46,0,'Opex PVC'!$E$9*(1+$C$45)^(T$2-$C$46-1))</f>
        <v>45.636169355783238</v>
      </c>
      <c r="U16" s="199">
        <f>IF(U$2&lt;=$C$46,0,'Opex PVC'!$E$9*(1+$C$45)^(U$2-$C$46-1))</f>
        <v>47.689796976793488</v>
      </c>
      <c r="V16" s="199">
        <f>IF(V$2&lt;=$C$46,0,'Opex PVC'!$E$9*(1+$C$45)^(V$2-$C$46-1))</f>
        <v>49.835837840749178</v>
      </c>
      <c r="W16" s="199">
        <f>IF(W$2&lt;=$C$46,0,'Opex PVC'!$E$9*(1+$C$45)^(W$2-$C$46-1))</f>
        <v>52.078450543582896</v>
      </c>
      <c r="X16" s="199">
        <f>IF(X$2&lt;=$C$46,0,'Opex PVC'!$E$9*(1+$C$45)^(X$2-$C$46-1))</f>
        <v>54.421980818044105</v>
      </c>
      <c r="Y16" s="199">
        <f>IF(Y$2&lt;=$C$46,0,'Opex PVC'!$E$9*(1+$C$45)^(Y$2-$C$46-1))</f>
        <v>56.870969954856093</v>
      </c>
      <c r="Z16" s="199">
        <f>IF(Z$2&lt;=$C$46,0,'Opex PVC'!$E$9*(1+$C$45)^(Z$2-$C$46-1))</f>
        <v>59.430163602824607</v>
      </c>
      <c r="XFD16" s="1">
        <v>2038</v>
      </c>
    </row>
    <row r="17" spans="1:26 16384:16384">
      <c r="A17" s="52"/>
      <c r="B17" s="17" t="s">
        <v>17</v>
      </c>
      <c r="C17" s="17"/>
      <c r="D17" s="17"/>
      <c r="E17" s="17"/>
      <c r="F17" s="17"/>
      <c r="G17" s="208">
        <f t="shared" si="1"/>
        <v>0.12931715014849723</v>
      </c>
      <c r="H17" s="199">
        <f>IF(H$2&lt;=$C$46,0,'Opex PVC'!$E$11*(1+$C$45)^(H$2-$C$46-1))</f>
        <v>157.19999999999999</v>
      </c>
      <c r="I17" s="199">
        <f>IF(I$2&lt;=$C$46,0,'Opex PVC'!$E$11*(1+$C$45)^(I$2-$C$46-1))</f>
        <v>164.27399999999997</v>
      </c>
      <c r="J17" s="199">
        <f>IF(J$2&lt;=$C$46,0,'Opex PVC'!$E$11*(1+$C$45)^(J$2-$C$46-1))</f>
        <v>171.66632999999996</v>
      </c>
      <c r="K17" s="199">
        <f>IF(K$2&lt;=$C$46,0,'Opex PVC'!$E$11*(1+$C$45)^(K$2-$C$46-1))</f>
        <v>179.39131484999996</v>
      </c>
      <c r="L17" s="199">
        <f>IF(L$2&lt;=$C$46,0,'Opex PVC'!$E$11*(1+$C$45)^(L$2-$C$46-1))</f>
        <v>187.46392401824991</v>
      </c>
      <c r="M17" s="199">
        <f>IF(M$2&lt;=$C$46,0,'Opex PVC'!$E$11*(1+$C$45)^(M$2-$C$46-1))</f>
        <v>195.89980059907114</v>
      </c>
      <c r="N17" s="199">
        <f>IF(N$2&lt;=$C$46,0,'Opex PVC'!$E$11*(1+$C$45)^(N$2-$C$46-1))</f>
        <v>204.71529162602931</v>
      </c>
      <c r="O17" s="199">
        <f>IF(O$2&lt;=$C$46,0,'Opex PVC'!$E$11*(1+$C$45)^(O$2-$C$46-1))</f>
        <v>213.92747974920064</v>
      </c>
      <c r="P17" s="199">
        <f>IF(P$2&lt;=$C$46,0,'Opex PVC'!$E$11*(1+$C$45)^(P$2-$C$46-1))</f>
        <v>223.5542163379146</v>
      </c>
      <c r="Q17" s="199">
        <f>IF(Q$2&lt;=$C$46,0,'Opex PVC'!$E$11*(1+$C$45)^(Q$2-$C$46-1))</f>
        <v>233.61415607312074</v>
      </c>
      <c r="R17" s="199">
        <f>IF(R$2&lt;=$C$46,0,'Opex PVC'!$E$11*(1+$C$45)^(R$2-$C$46-1))</f>
        <v>244.12679309641112</v>
      </c>
      <c r="S17" s="199">
        <f>IF(S$2&lt;=$C$46,0,'Opex PVC'!$E$11*(1+$C$45)^(S$2-$C$46-1))</f>
        <v>255.11249878574964</v>
      </c>
      <c r="T17" s="199">
        <f>IF(T$2&lt;=$C$46,0,'Opex PVC'!$E$11*(1+$C$45)^(T$2-$C$46-1))</f>
        <v>266.59256123110828</v>
      </c>
      <c r="U17" s="199">
        <f>IF(U$2&lt;=$C$46,0,'Opex PVC'!$E$11*(1+$C$45)^(U$2-$C$46-1))</f>
        <v>278.58922648650821</v>
      </c>
      <c r="V17" s="199">
        <f>IF(V$2&lt;=$C$46,0,'Opex PVC'!$E$11*(1+$C$45)^(V$2-$C$46-1))</f>
        <v>291.12574167840097</v>
      </c>
      <c r="W17" s="199">
        <f>IF(W$2&lt;=$C$46,0,'Opex PVC'!$E$11*(1+$C$45)^(W$2-$C$46-1))</f>
        <v>304.22640005392907</v>
      </c>
      <c r="X17" s="199">
        <f>IF(X$2&lt;=$C$46,0,'Opex PVC'!$E$11*(1+$C$45)^(X$2-$C$46-1))</f>
        <v>317.91658805635575</v>
      </c>
      <c r="Y17" s="199">
        <f>IF(Y$2&lt;=$C$46,0,'Opex PVC'!$E$11*(1+$C$45)^(Y$2-$C$46-1))</f>
        <v>332.22283451889177</v>
      </c>
      <c r="Z17" s="199">
        <f>IF(Z$2&lt;=$C$46,0,'Opex PVC'!$E$11*(1+$C$45)^(Z$2-$C$46-1))</f>
        <v>347.1728620722418</v>
      </c>
      <c r="XFD17" s="1">
        <v>2039</v>
      </c>
    </row>
    <row r="18" spans="1:26 16384:16384" s="167" customFormat="1">
      <c r="A18" s="52"/>
      <c r="B18" s="17" t="s">
        <v>20</v>
      </c>
      <c r="C18" s="17"/>
      <c r="D18" s="17"/>
      <c r="E18" s="17"/>
      <c r="F18" s="17"/>
      <c r="G18" s="208">
        <f t="shared" si="1"/>
        <v>5.6834868985987247E-2</v>
      </c>
      <c r="H18" s="199">
        <f>IF(H$2&lt;=$C$46,0,'Opex PVC'!$E$14*(1+$C$45)^(H$2-$C$46-1))</f>
        <v>69.089377505903997</v>
      </c>
      <c r="I18" s="199">
        <f>IF(I$2&lt;=$C$46,0,'Opex PVC'!$E$14*(1+$C$45)^(I$2-$C$46-1))</f>
        <v>72.198399493669669</v>
      </c>
      <c r="J18" s="199">
        <f>IF(J$2&lt;=$C$46,0,'Opex PVC'!$E$14*(1+$C$45)^(J$2-$C$46-1))</f>
        <v>75.447327470884801</v>
      </c>
      <c r="K18" s="199">
        <f>IF(K$2&lt;=$C$46,0,'Opex PVC'!$E$14*(1+$C$45)^(K$2-$C$46-1))</f>
        <v>78.842457207074617</v>
      </c>
      <c r="L18" s="199">
        <f>IF(L$2&lt;=$C$46,0,'Opex PVC'!$E$14*(1+$C$45)^(L$2-$C$46-1))</f>
        <v>82.390367781392953</v>
      </c>
      <c r="M18" s="199">
        <f>IF(M$2&lt;=$C$46,0,'Opex PVC'!$E$14*(1+$C$45)^(M$2-$C$46-1))</f>
        <v>86.097934331555635</v>
      </c>
      <c r="N18" s="199">
        <f>IF(N$2&lt;=$C$46,0,'Opex PVC'!$E$14*(1+$C$45)^(N$2-$C$46-1))</f>
        <v>89.972341376475612</v>
      </c>
      <c r="O18" s="199">
        <f>IF(O$2&lt;=$C$46,0,'Opex PVC'!$E$14*(1+$C$45)^(O$2-$C$46-1))</f>
        <v>94.021096738417029</v>
      </c>
      <c r="P18" s="199">
        <f>IF(P$2&lt;=$C$46,0,'Opex PVC'!$E$14*(1+$C$45)^(P$2-$C$46-1))</f>
        <v>98.252046091645767</v>
      </c>
      <c r="Q18" s="199">
        <f>IF(Q$2&lt;=$C$46,0,'Opex PVC'!$E$14*(1+$C$45)^(Q$2-$C$46-1))</f>
        <v>102.67338816576981</v>
      </c>
      <c r="R18" s="199">
        <f>IF(R$2&lt;=$C$46,0,'Opex PVC'!$E$14*(1+$C$45)^(R$2-$C$46-1))</f>
        <v>107.29369063322943</v>
      </c>
      <c r="S18" s="199">
        <f>IF(S$2&lt;=$C$46,0,'Opex PVC'!$E$14*(1+$C$45)^(S$2-$C$46-1))</f>
        <v>112.12190671172476</v>
      </c>
      <c r="T18" s="199">
        <f>IF(T$2&lt;=$C$46,0,'Opex PVC'!$E$14*(1+$C$45)^(T$2-$C$46-1))</f>
        <v>117.16739251375235</v>
      </c>
      <c r="U18" s="199">
        <f>IF(U$2&lt;=$C$46,0,'Opex PVC'!$E$14*(1+$C$45)^(U$2-$C$46-1))</f>
        <v>122.43992517687121</v>
      </c>
      <c r="V18" s="199">
        <f>IF(V$2&lt;=$C$46,0,'Opex PVC'!$E$14*(1+$C$45)^(V$2-$C$46-1))</f>
        <v>127.94972180983038</v>
      </c>
      <c r="W18" s="199">
        <f>IF(W$2&lt;=$C$46,0,'Opex PVC'!$E$14*(1+$C$45)^(W$2-$C$46-1))</f>
        <v>133.70745929127276</v>
      </c>
      <c r="X18" s="199">
        <f>IF(X$2&lt;=$C$46,0,'Opex PVC'!$E$14*(1+$C$45)^(X$2-$C$46-1))</f>
        <v>139.72429495937999</v>
      </c>
      <c r="Y18" s="199">
        <f>IF(Y$2&lt;=$C$46,0,'Opex PVC'!$E$14*(1+$C$45)^(Y$2-$C$46-1))</f>
        <v>146.01188823255208</v>
      </c>
      <c r="Z18" s="199">
        <f>IF(Z$2&lt;=$C$46,0,'Opex PVC'!$E$14*(1+$C$45)^(Z$2-$C$46-1))</f>
        <v>152.5824232030169</v>
      </c>
      <c r="XFD18" s="1">
        <v>2040</v>
      </c>
    </row>
    <row r="19" spans="1:26 16384:16384">
      <c r="A19" s="52"/>
      <c r="B19" s="17" t="s">
        <v>21</v>
      </c>
      <c r="C19" s="17"/>
      <c r="D19" s="17"/>
      <c r="E19" s="17"/>
      <c r="F19" s="17"/>
      <c r="G19" s="208">
        <f t="shared" si="1"/>
        <v>6.3992157444888467E-2</v>
      </c>
      <c r="H19" s="199">
        <f>IF(H$2&lt;=$C$46,0,'Opex PVC'!$E$17*(1+$C$45)^(H$2-$C$46-1))</f>
        <v>77.789892050550776</v>
      </c>
      <c r="I19" s="199">
        <f>IF(I$2&lt;=$C$46,0,'Opex PVC'!$E$17*(1+$C$45)^(I$2-$C$46-1))</f>
        <v>81.29043719282555</v>
      </c>
      <c r="J19" s="199">
        <f>IF(J$2&lt;=$C$46,0,'Opex PVC'!$E$17*(1+$C$45)^(J$2-$C$46-1))</f>
        <v>84.948506866502697</v>
      </c>
      <c r="K19" s="199">
        <f>IF(K$2&lt;=$C$46,0,'Opex PVC'!$E$17*(1+$C$45)^(K$2-$C$46-1))</f>
        <v>88.771189675495322</v>
      </c>
      <c r="L19" s="199">
        <f>IF(L$2&lt;=$C$46,0,'Opex PVC'!$E$17*(1+$C$45)^(L$2-$C$46-1))</f>
        <v>92.765893210892585</v>
      </c>
      <c r="M19" s="199">
        <f>IF(M$2&lt;=$C$46,0,'Opex PVC'!$E$17*(1+$C$45)^(M$2-$C$46-1))</f>
        <v>96.940358405382753</v>
      </c>
      <c r="N19" s="199">
        <f>IF(N$2&lt;=$C$46,0,'Opex PVC'!$E$17*(1+$C$45)^(N$2-$C$46-1))</f>
        <v>101.30267453362495</v>
      </c>
      <c r="O19" s="199">
        <f>IF(O$2&lt;=$C$46,0,'Opex PVC'!$E$17*(1+$C$45)^(O$2-$C$46-1))</f>
        <v>105.86129488763808</v>
      </c>
      <c r="P19" s="199">
        <f>IF(P$2&lt;=$C$46,0,'Opex PVC'!$E$17*(1+$C$45)^(P$2-$C$46-1))</f>
        <v>110.62505315758176</v>
      </c>
      <c r="Q19" s="199">
        <f>IF(Q$2&lt;=$C$46,0,'Opex PVC'!$E$17*(1+$C$45)^(Q$2-$C$46-1))</f>
        <v>115.60318054967293</v>
      </c>
      <c r="R19" s="199">
        <f>IF(R$2&lt;=$C$46,0,'Opex PVC'!$E$17*(1+$C$45)^(R$2-$C$46-1))</f>
        <v>120.80532367440819</v>
      </c>
      <c r="S19" s="199">
        <f>IF(S$2&lt;=$C$46,0,'Opex PVC'!$E$17*(1+$C$45)^(S$2-$C$46-1))</f>
        <v>126.24156323975656</v>
      </c>
      <c r="T19" s="199">
        <f>IF(T$2&lt;=$C$46,0,'Opex PVC'!$E$17*(1+$C$45)^(T$2-$C$46-1))</f>
        <v>131.92243358554558</v>
      </c>
      <c r="U19" s="199">
        <f>IF(U$2&lt;=$C$46,0,'Opex PVC'!$E$17*(1+$C$45)^(U$2-$C$46-1))</f>
        <v>137.85894309689513</v>
      </c>
      <c r="V19" s="199">
        <f>IF(V$2&lt;=$C$46,0,'Opex PVC'!$E$17*(1+$C$45)^(V$2-$C$46-1))</f>
        <v>144.06259553625537</v>
      </c>
      <c r="W19" s="199">
        <f>IF(W$2&lt;=$C$46,0,'Opex PVC'!$E$17*(1+$C$45)^(W$2-$C$46-1))</f>
        <v>150.54541233538689</v>
      </c>
      <c r="X19" s="199">
        <f>IF(X$2&lt;=$C$46,0,'Opex PVC'!$E$17*(1+$C$45)^(X$2-$C$46-1))</f>
        <v>157.31995589047924</v>
      </c>
      <c r="Y19" s="199">
        <f>IF(Y$2&lt;=$C$46,0,'Opex PVC'!$E$17*(1+$C$45)^(Y$2-$C$46-1))</f>
        <v>164.39935390555081</v>
      </c>
      <c r="Z19" s="199">
        <f>IF(Z$2&lt;=$C$46,0,'Opex PVC'!$E$17*(1+$C$45)^(Z$2-$C$46-1))</f>
        <v>171.79732483130056</v>
      </c>
      <c r="XFD19" s="1">
        <v>2041</v>
      </c>
    </row>
    <row r="20" spans="1:26 16384:16384" s="167" customFormat="1">
      <c r="A20" s="187"/>
      <c r="B20" s="209" t="s">
        <v>30</v>
      </c>
      <c r="C20" s="209"/>
      <c r="D20" s="209"/>
      <c r="E20" s="209"/>
      <c r="F20" s="209"/>
      <c r="G20" s="210"/>
      <c r="H20" s="192">
        <f t="shared" ref="H20:Q20" si="2">SUM(H14:H19)</f>
        <v>932.23678602710277</v>
      </c>
      <c r="I20" s="192">
        <f t="shared" si="2"/>
        <v>1165.227980749263</v>
      </c>
      <c r="J20" s="192">
        <f t="shared" si="2"/>
        <v>1327.4830894654915</v>
      </c>
      <c r="K20" s="192">
        <f t="shared" si="2"/>
        <v>1402.011308983919</v>
      </c>
      <c r="L20" s="192">
        <f t="shared" si="2"/>
        <v>1478.2965194678557</v>
      </c>
      <c r="M20" s="192">
        <f t="shared" si="2"/>
        <v>1559.9933128256891</v>
      </c>
      <c r="N20" s="192">
        <f t="shared" si="2"/>
        <v>1645.9450433250197</v>
      </c>
      <c r="O20" s="192">
        <f t="shared" si="2"/>
        <v>1737.1367293137926</v>
      </c>
      <c r="P20" s="192">
        <f t="shared" si="2"/>
        <v>1835.2195060042764</v>
      </c>
      <c r="Q20" s="192">
        <f t="shared" si="2"/>
        <v>1933.1452687027047</v>
      </c>
      <c r="R20" s="192">
        <f t="shared" ref="R20:Z20" si="3">SUM(R14:R19)</f>
        <v>2037.4024233400214</v>
      </c>
      <c r="S20" s="192">
        <f t="shared" si="3"/>
        <v>2147.7559809820041</v>
      </c>
      <c r="T20" s="192">
        <f t="shared" si="3"/>
        <v>2262.6644014402423</v>
      </c>
      <c r="U20" s="192">
        <f t="shared" si="3"/>
        <v>2383.4612344494285</v>
      </c>
      <c r="V20" s="192">
        <f t="shared" si="3"/>
        <v>2510.5963761308649</v>
      </c>
      <c r="W20" s="192">
        <f t="shared" si="3"/>
        <v>2646.8346433334023</v>
      </c>
      <c r="X20" s="192">
        <f t="shared" si="3"/>
        <v>2791.0889308949686</v>
      </c>
      <c r="Y20" s="192">
        <f t="shared" si="3"/>
        <v>2944.6453596866377</v>
      </c>
      <c r="Z20" s="192">
        <f t="shared" si="3"/>
        <v>3104.6778401243364</v>
      </c>
      <c r="XFD20" s="1">
        <v>2042</v>
      </c>
    </row>
    <row r="21" spans="1:26 16384:16384">
      <c r="A21" s="52"/>
      <c r="B21" s="17"/>
      <c r="C21" s="17"/>
      <c r="D21" s="17"/>
      <c r="E21" s="17"/>
      <c r="F21" s="17"/>
      <c r="G21" s="201"/>
      <c r="H21" s="199"/>
      <c r="I21" s="199"/>
      <c r="J21" s="199"/>
      <c r="K21" s="199"/>
      <c r="L21" s="199"/>
      <c r="M21" s="199"/>
      <c r="N21" s="199"/>
      <c r="O21" s="199"/>
      <c r="P21" s="199"/>
      <c r="Q21" s="199"/>
      <c r="XFD21" s="1">
        <v>2043</v>
      </c>
    </row>
    <row r="22" spans="1:26 16384:16384">
      <c r="A22" s="203">
        <v>4</v>
      </c>
      <c r="B22" s="204" t="s">
        <v>396</v>
      </c>
      <c r="C22" s="204"/>
      <c r="D22" s="204"/>
      <c r="E22" s="204"/>
      <c r="F22" s="204"/>
      <c r="G22" s="205"/>
      <c r="H22" s="206">
        <f t="shared" ref="H22:Z22" si="4">H10-H20</f>
        <v>899.1261885562302</v>
      </c>
      <c r="I22" s="206">
        <f t="shared" si="4"/>
        <v>1324.8657908604116</v>
      </c>
      <c r="J22" s="206">
        <f t="shared" si="4"/>
        <v>1598.4877630101696</v>
      </c>
      <c r="K22" s="206">
        <f t="shared" si="4"/>
        <v>1692.3199063431914</v>
      </c>
      <c r="L22" s="206">
        <f t="shared" si="4"/>
        <v>1794.0825139891761</v>
      </c>
      <c r="M22" s="206">
        <f t="shared" si="4"/>
        <v>1900.67841021646</v>
      </c>
      <c r="N22" s="206">
        <f t="shared" si="4"/>
        <v>2013.8537306609735</v>
      </c>
      <c r="O22" s="206">
        <f t="shared" si="4"/>
        <v>2133.2468661273551</v>
      </c>
      <c r="P22" s="206">
        <f t="shared" si="4"/>
        <v>2257.8659615185529</v>
      </c>
      <c r="Q22" s="206">
        <f t="shared" si="4"/>
        <v>2395.4563366213879</v>
      </c>
      <c r="R22" s="206">
        <f t="shared" si="4"/>
        <v>2540.2669183544194</v>
      </c>
      <c r="S22" s="206">
        <f t="shared" si="4"/>
        <v>2693.3124546335348</v>
      </c>
      <c r="T22" s="206">
        <f t="shared" si="4"/>
        <v>2856.9591119606134</v>
      </c>
      <c r="U22" s="206">
        <f t="shared" si="4"/>
        <v>3030.7454159125132</v>
      </c>
      <c r="V22" s="206">
        <f t="shared" si="4"/>
        <v>3215.1437248929014</v>
      </c>
      <c r="W22" s="206">
        <f t="shared" si="4"/>
        <v>3408.3645431032724</v>
      </c>
      <c r="X22" s="206">
        <f t="shared" si="4"/>
        <v>3612.5264167292694</v>
      </c>
      <c r="Y22" s="206">
        <f t="shared" si="4"/>
        <v>3827.4340150398984</v>
      </c>
      <c r="Z22" s="206">
        <f t="shared" si="4"/>
        <v>4057.066981823963</v>
      </c>
      <c r="XFD22" s="1">
        <v>2044</v>
      </c>
    </row>
    <row r="23" spans="1:26 16384:16384">
      <c r="A23" s="52"/>
      <c r="B23" s="17" t="s">
        <v>392</v>
      </c>
      <c r="C23" s="17"/>
      <c r="D23" s="17"/>
      <c r="E23" s="17"/>
      <c r="F23" s="17"/>
      <c r="G23" s="201"/>
      <c r="H23" s="262">
        <f t="shared" ref="H23:Z23" si="5">H22/H10</f>
        <v>0.49096012152413265</v>
      </c>
      <c r="I23" s="262">
        <f t="shared" si="5"/>
        <v>0.53205457801052081</v>
      </c>
      <c r="J23" s="262">
        <f t="shared" si="5"/>
        <v>0.54631021414915693</v>
      </c>
      <c r="K23" s="262">
        <f t="shared" si="5"/>
        <v>0.54690974836845041</v>
      </c>
      <c r="L23" s="262">
        <f t="shared" si="5"/>
        <v>0.54825021663027151</v>
      </c>
      <c r="M23" s="262">
        <f t="shared" si="5"/>
        <v>0.54922239447364962</v>
      </c>
      <c r="N23" s="262">
        <f t="shared" si="5"/>
        <v>0.55026351311321597</v>
      </c>
      <c r="O23" s="262">
        <f t="shared" si="5"/>
        <v>0.5511719480828895</v>
      </c>
      <c r="P23" s="262">
        <f t="shared" si="5"/>
        <v>0.55162932204419202</v>
      </c>
      <c r="Q23" s="262">
        <f t="shared" si="5"/>
        <v>0.55340189627870229</v>
      </c>
      <c r="R23" s="262">
        <f t="shared" si="5"/>
        <v>0.55492582114157907</v>
      </c>
      <c r="S23" s="262">
        <f t="shared" si="5"/>
        <v>0.5563467012403599</v>
      </c>
      <c r="T23" s="262">
        <f t="shared" si="5"/>
        <v>0.55804086071610315</v>
      </c>
      <c r="U23" s="262">
        <f t="shared" si="5"/>
        <v>0.55977645694589562</v>
      </c>
      <c r="V23" s="262">
        <f t="shared" si="5"/>
        <v>0.56152456593655575</v>
      </c>
      <c r="W23" s="262">
        <f t="shared" si="5"/>
        <v>0.56288231619825624</v>
      </c>
      <c r="X23" s="262">
        <f t="shared" si="5"/>
        <v>0.56413857182560601</v>
      </c>
      <c r="Y23" s="262">
        <f t="shared" si="5"/>
        <v>0.56517855200042666</v>
      </c>
      <c r="Z23" s="262">
        <f t="shared" si="5"/>
        <v>0.56649141831896044</v>
      </c>
      <c r="XFD23" s="1">
        <v>2045</v>
      </c>
    </row>
    <row r="24" spans="1:26 16384:16384">
      <c r="A24" s="52"/>
      <c r="B24" s="17" t="s">
        <v>391</v>
      </c>
      <c r="C24" s="17"/>
      <c r="D24" s="17"/>
      <c r="E24" s="17"/>
      <c r="F24" s="17"/>
      <c r="G24" s="201"/>
      <c r="H24" s="264">
        <f t="shared" ref="H24:Z24" si="6">H22/(H3*350000)*10^7</f>
        <v>36699.028104335928</v>
      </c>
      <c r="I24" s="264">
        <f t="shared" si="6"/>
        <v>42059.231455886082</v>
      </c>
      <c r="J24" s="264">
        <f t="shared" si="6"/>
        <v>45671.07894314771</v>
      </c>
      <c r="K24" s="264">
        <f t="shared" si="6"/>
        <v>48351.997324091186</v>
      </c>
      <c r="L24" s="264">
        <f t="shared" si="6"/>
        <v>51259.500399690747</v>
      </c>
      <c r="M24" s="264">
        <f t="shared" si="6"/>
        <v>54305.097434755997</v>
      </c>
      <c r="N24" s="264">
        <f t="shared" si="6"/>
        <v>57538.678018884959</v>
      </c>
      <c r="O24" s="264">
        <f t="shared" si="6"/>
        <v>60949.910460781583</v>
      </c>
      <c r="P24" s="264">
        <f t="shared" si="6"/>
        <v>64510.456043387232</v>
      </c>
      <c r="Q24" s="264">
        <f t="shared" si="6"/>
        <v>68441.609617753944</v>
      </c>
      <c r="R24" s="264">
        <f t="shared" si="6"/>
        <v>72579.054810126268</v>
      </c>
      <c r="S24" s="264">
        <f t="shared" si="6"/>
        <v>76951.784418101</v>
      </c>
      <c r="T24" s="264">
        <f t="shared" si="6"/>
        <v>81627.403198874672</v>
      </c>
      <c r="U24" s="264">
        <f t="shared" si="6"/>
        <v>86592.726168928959</v>
      </c>
      <c r="V24" s="264">
        <f t="shared" si="6"/>
        <v>91861.249282654317</v>
      </c>
      <c r="W24" s="264">
        <f t="shared" si="6"/>
        <v>97381.844088664933</v>
      </c>
      <c r="X24" s="264">
        <f t="shared" si="6"/>
        <v>103215.04047797911</v>
      </c>
      <c r="Y24" s="264">
        <f t="shared" si="6"/>
        <v>109355.25757256853</v>
      </c>
      <c r="Z24" s="264">
        <f t="shared" si="6"/>
        <v>115916.19948068466</v>
      </c>
    </row>
    <row r="25" spans="1:26 16384:16384">
      <c r="A25" s="194"/>
      <c r="B25" s="195" t="s">
        <v>32</v>
      </c>
      <c r="C25" s="182">
        <f>-C8</f>
        <v>-207.97</v>
      </c>
      <c r="D25" s="182">
        <f>-D8</f>
        <v>-1039.8599999999999</v>
      </c>
      <c r="E25" s="182">
        <f>-E8</f>
        <v>-1455.81</v>
      </c>
      <c r="F25" s="182">
        <f>-F8</f>
        <v>-1455.81</v>
      </c>
      <c r="G25" s="196"/>
      <c r="H25" s="197">
        <f>H22+SUM(C25:F25)</f>
        <v>-3260.3238114437695</v>
      </c>
      <c r="I25" s="197">
        <f t="shared" ref="I25:Z25" si="7">I22</f>
        <v>1324.8657908604116</v>
      </c>
      <c r="J25" s="197">
        <f t="shared" si="7"/>
        <v>1598.4877630101696</v>
      </c>
      <c r="K25" s="197">
        <f t="shared" si="7"/>
        <v>1692.3199063431914</v>
      </c>
      <c r="L25" s="197">
        <f t="shared" si="7"/>
        <v>1794.0825139891761</v>
      </c>
      <c r="M25" s="197">
        <f t="shared" si="7"/>
        <v>1900.67841021646</v>
      </c>
      <c r="N25" s="197">
        <f t="shared" si="7"/>
        <v>2013.8537306609735</v>
      </c>
      <c r="O25" s="197">
        <f t="shared" si="7"/>
        <v>2133.2468661273551</v>
      </c>
      <c r="P25" s="197">
        <f t="shared" si="7"/>
        <v>2257.8659615185529</v>
      </c>
      <c r="Q25" s="197">
        <f t="shared" si="7"/>
        <v>2395.4563366213879</v>
      </c>
      <c r="R25" s="197">
        <f t="shared" si="7"/>
        <v>2540.2669183544194</v>
      </c>
      <c r="S25" s="197">
        <f t="shared" si="7"/>
        <v>2693.3124546335348</v>
      </c>
      <c r="T25" s="197">
        <f t="shared" si="7"/>
        <v>2856.9591119606134</v>
      </c>
      <c r="U25" s="197">
        <f t="shared" si="7"/>
        <v>3030.7454159125132</v>
      </c>
      <c r="V25" s="197">
        <f t="shared" si="7"/>
        <v>3215.1437248929014</v>
      </c>
      <c r="W25" s="197">
        <f t="shared" si="7"/>
        <v>3408.3645431032724</v>
      </c>
      <c r="X25" s="197">
        <f t="shared" si="7"/>
        <v>3612.5264167292694</v>
      </c>
      <c r="Y25" s="197">
        <f t="shared" si="7"/>
        <v>3827.4340150398984</v>
      </c>
      <c r="Z25" s="197">
        <f t="shared" si="7"/>
        <v>4057.066981823963</v>
      </c>
    </row>
    <row r="26" spans="1:26 16384:16384">
      <c r="A26" s="52"/>
      <c r="B26" s="17"/>
      <c r="C26" s="17"/>
      <c r="D26" s="17"/>
      <c r="E26" s="17"/>
      <c r="F26" s="17"/>
      <c r="G26" s="201"/>
      <c r="H26" s="199"/>
      <c r="I26" s="199"/>
      <c r="J26" s="199"/>
      <c r="K26" s="199"/>
      <c r="L26" s="199"/>
      <c r="M26" s="199"/>
      <c r="N26" s="199"/>
      <c r="O26" s="199"/>
      <c r="P26" s="199"/>
      <c r="Q26" s="199"/>
      <c r="R26" s="199"/>
      <c r="S26" s="199"/>
      <c r="T26" s="199"/>
      <c r="U26" s="199"/>
      <c r="V26" s="199"/>
      <c r="W26" s="199"/>
      <c r="X26" s="199"/>
      <c r="Y26" s="199"/>
      <c r="Z26" s="199"/>
    </row>
    <row r="27" spans="1:26 16384:16384">
      <c r="A27" s="52"/>
      <c r="B27" s="17" t="s">
        <v>33</v>
      </c>
      <c r="C27" s="17"/>
      <c r="D27" s="17"/>
      <c r="E27" s="17"/>
      <c r="F27" s="17"/>
      <c r="G27" s="201">
        <v>1</v>
      </c>
      <c r="H27" s="199">
        <f>G27/(1+0.1)</f>
        <v>0.90909090909090906</v>
      </c>
      <c r="I27" s="199">
        <f>H27/(1+0.1)</f>
        <v>0.82644628099173545</v>
      </c>
      <c r="J27" s="199">
        <f t="shared" ref="J27:Z27" si="8">I27/(1+0.1)</f>
        <v>0.75131480090157765</v>
      </c>
      <c r="K27" s="199">
        <f t="shared" si="8"/>
        <v>0.68301345536507052</v>
      </c>
      <c r="L27" s="199">
        <f t="shared" si="8"/>
        <v>0.62092132305915493</v>
      </c>
      <c r="M27" s="199">
        <f t="shared" si="8"/>
        <v>0.56447393005377711</v>
      </c>
      <c r="N27" s="199">
        <f t="shared" si="8"/>
        <v>0.51315811823070645</v>
      </c>
      <c r="O27" s="199">
        <f t="shared" si="8"/>
        <v>0.46650738020973309</v>
      </c>
      <c r="P27" s="199">
        <f t="shared" si="8"/>
        <v>0.42409761837248461</v>
      </c>
      <c r="Q27" s="199">
        <f t="shared" si="8"/>
        <v>0.38554328942953142</v>
      </c>
      <c r="R27" s="199">
        <f t="shared" si="8"/>
        <v>0.35049389948139215</v>
      </c>
      <c r="S27" s="199">
        <f t="shared" si="8"/>
        <v>0.31863081771035645</v>
      </c>
      <c r="T27" s="199">
        <f t="shared" si="8"/>
        <v>0.28966437973668768</v>
      </c>
      <c r="U27" s="199">
        <f t="shared" si="8"/>
        <v>0.26333125430607968</v>
      </c>
      <c r="V27" s="199">
        <f t="shared" si="8"/>
        <v>0.23939204936916333</v>
      </c>
      <c r="W27" s="199">
        <f t="shared" si="8"/>
        <v>0.21762913579014848</v>
      </c>
      <c r="X27" s="199">
        <f t="shared" si="8"/>
        <v>0.19784466890013497</v>
      </c>
      <c r="Y27" s="199">
        <f t="shared" si="8"/>
        <v>0.17985878990921358</v>
      </c>
      <c r="Z27" s="199">
        <f t="shared" si="8"/>
        <v>0.16350799082655779</v>
      </c>
    </row>
    <row r="28" spans="1:26 16384:16384">
      <c r="A28" s="52"/>
      <c r="B28" s="17" t="s">
        <v>34</v>
      </c>
      <c r="C28" s="182"/>
      <c r="D28" s="182"/>
      <c r="E28" s="182"/>
      <c r="F28" s="182"/>
      <c r="G28" s="211"/>
      <c r="H28" s="202">
        <f>H25*H27</f>
        <v>-2963.930737676154</v>
      </c>
      <c r="I28" s="202">
        <f t="shared" ref="I28:Z28" si="9">I25*I27</f>
        <v>1094.9304056697615</v>
      </c>
      <c r="J28" s="202">
        <f t="shared" si="9"/>
        <v>1200.9675154095937</v>
      </c>
      <c r="K28" s="202">
        <f t="shared" si="9"/>
        <v>1155.8772668145557</v>
      </c>
      <c r="L28" s="202">
        <f t="shared" si="9"/>
        <v>1113.9840882634539</v>
      </c>
      <c r="M28" s="202">
        <f t="shared" si="9"/>
        <v>1072.8834119832502</v>
      </c>
      <c r="N28" s="202">
        <f t="shared" si="9"/>
        <v>1033.425390817873</v>
      </c>
      <c r="O28" s="202">
        <f t="shared" si="9"/>
        <v>995.17540685769563</v>
      </c>
      <c r="P28" s="202">
        <f t="shared" si="9"/>
        <v>957.55557688431827</v>
      </c>
      <c r="Q28" s="202">
        <f t="shared" si="9"/>
        <v>923.5521157058248</v>
      </c>
      <c r="R28" s="202">
        <f t="shared" si="9"/>
        <v>890.34805793761973</v>
      </c>
      <c r="S28" s="202">
        <f t="shared" si="9"/>
        <v>858.1723497693705</v>
      </c>
      <c r="T28" s="202">
        <f t="shared" si="9"/>
        <v>827.55928909914917</v>
      </c>
      <c r="U28" s="202">
        <f t="shared" si="9"/>
        <v>798.08999185464324</v>
      </c>
      <c r="V28" s="202">
        <f t="shared" si="9"/>
        <v>769.67984531851721</v>
      </c>
      <c r="W28" s="202">
        <f t="shared" si="9"/>
        <v>741.75942997334937</v>
      </c>
      <c r="X28" s="202">
        <f t="shared" si="9"/>
        <v>714.71909281079331</v>
      </c>
      <c r="Y28" s="202">
        <f t="shared" si="9"/>
        <v>688.3976504024389</v>
      </c>
      <c r="Z28" s="202">
        <f t="shared" si="9"/>
        <v>663.36287084680305</v>
      </c>
    </row>
    <row r="29" spans="1:26 16384:16384">
      <c r="A29" s="52"/>
      <c r="B29" s="17" t="s">
        <v>35</v>
      </c>
      <c r="C29" s="17"/>
      <c r="D29" s="17"/>
      <c r="E29" s="17"/>
      <c r="F29" s="17"/>
      <c r="G29" s="211"/>
      <c r="H29" s="202">
        <f>H25</f>
        <v>-3260.3238114437695</v>
      </c>
      <c r="I29" s="202">
        <f t="shared" ref="I29:Z29" si="10">I25</f>
        <v>1324.8657908604116</v>
      </c>
      <c r="J29" s="202">
        <f t="shared" si="10"/>
        <v>1598.4877630101696</v>
      </c>
      <c r="K29" s="202">
        <f t="shared" si="10"/>
        <v>1692.3199063431914</v>
      </c>
      <c r="L29" s="202">
        <f t="shared" si="10"/>
        <v>1794.0825139891761</v>
      </c>
      <c r="M29" s="202">
        <f t="shared" si="10"/>
        <v>1900.67841021646</v>
      </c>
      <c r="N29" s="202">
        <f t="shared" si="10"/>
        <v>2013.8537306609735</v>
      </c>
      <c r="O29" s="202">
        <f t="shared" si="10"/>
        <v>2133.2468661273551</v>
      </c>
      <c r="P29" s="202">
        <f t="shared" si="10"/>
        <v>2257.8659615185529</v>
      </c>
      <c r="Q29" s="202">
        <f t="shared" si="10"/>
        <v>2395.4563366213879</v>
      </c>
      <c r="R29" s="202">
        <f t="shared" si="10"/>
        <v>2540.2669183544194</v>
      </c>
      <c r="S29" s="202">
        <f t="shared" si="10"/>
        <v>2693.3124546335348</v>
      </c>
      <c r="T29" s="202">
        <f t="shared" si="10"/>
        <v>2856.9591119606134</v>
      </c>
      <c r="U29" s="202">
        <f t="shared" si="10"/>
        <v>3030.7454159125132</v>
      </c>
      <c r="V29" s="202">
        <f t="shared" si="10"/>
        <v>3215.1437248929014</v>
      </c>
      <c r="W29" s="202">
        <f t="shared" si="10"/>
        <v>3408.3645431032724</v>
      </c>
      <c r="X29" s="202">
        <f t="shared" si="10"/>
        <v>3612.5264167292694</v>
      </c>
      <c r="Y29" s="202">
        <f t="shared" si="10"/>
        <v>3827.4340150398984</v>
      </c>
      <c r="Z29" s="202">
        <f t="shared" si="10"/>
        <v>4057.066981823963</v>
      </c>
    </row>
    <row r="30" spans="1:26 16384:16384">
      <c r="A30" s="53"/>
      <c r="B30" s="55" t="s">
        <v>448</v>
      </c>
      <c r="C30" s="55"/>
      <c r="D30" s="55"/>
      <c r="E30" s="55"/>
      <c r="F30" s="55"/>
      <c r="G30" s="212"/>
      <c r="H30" s="213">
        <f>H25</f>
        <v>-3260.3238114437695</v>
      </c>
      <c r="I30" s="213">
        <f>H30+I25</f>
        <v>-1935.4580205833579</v>
      </c>
      <c r="J30" s="213">
        <f t="shared" ref="J30:Z30" si="11">I30+J25</f>
        <v>-336.97025757318829</v>
      </c>
      <c r="K30" s="213">
        <f t="shared" si="11"/>
        <v>1355.3496487700031</v>
      </c>
      <c r="L30" s="213">
        <f t="shared" si="11"/>
        <v>3149.4321627591789</v>
      </c>
      <c r="M30" s="213">
        <f t="shared" si="11"/>
        <v>5050.1105729756391</v>
      </c>
      <c r="N30" s="213">
        <f t="shared" si="11"/>
        <v>7063.9643036366124</v>
      </c>
      <c r="O30" s="213">
        <f t="shared" si="11"/>
        <v>9197.2111697639666</v>
      </c>
      <c r="P30" s="213">
        <f t="shared" si="11"/>
        <v>11455.07713128252</v>
      </c>
      <c r="Q30" s="213">
        <f t="shared" si="11"/>
        <v>13850.533467903908</v>
      </c>
      <c r="R30" s="213">
        <f t="shared" si="11"/>
        <v>16390.800386258328</v>
      </c>
      <c r="S30" s="213">
        <f t="shared" si="11"/>
        <v>19084.112840891863</v>
      </c>
      <c r="T30" s="213">
        <f t="shared" si="11"/>
        <v>21941.071952852475</v>
      </c>
      <c r="U30" s="213">
        <f t="shared" si="11"/>
        <v>24971.817368764987</v>
      </c>
      <c r="V30" s="213">
        <f t="shared" si="11"/>
        <v>28186.96109365789</v>
      </c>
      <c r="W30" s="213">
        <f t="shared" si="11"/>
        <v>31595.325636761161</v>
      </c>
      <c r="X30" s="213">
        <f t="shared" si="11"/>
        <v>35207.852053490431</v>
      </c>
      <c r="Y30" s="213">
        <f t="shared" si="11"/>
        <v>39035.286068530331</v>
      </c>
      <c r="Z30" s="213">
        <f t="shared" si="11"/>
        <v>43092.353050354293</v>
      </c>
    </row>
    <row r="31" spans="1:26 16384:16384">
      <c r="A31" s="52"/>
      <c r="B31" s="17"/>
      <c r="C31" s="17"/>
      <c r="D31" s="17"/>
      <c r="E31" s="17"/>
      <c r="F31" s="17"/>
      <c r="G31" s="201"/>
      <c r="H31" s="202"/>
      <c r="I31" s="202"/>
      <c r="J31" s="202"/>
      <c r="K31" s="202"/>
      <c r="L31" s="202"/>
      <c r="M31" s="202"/>
      <c r="N31" s="202"/>
      <c r="O31" s="202"/>
      <c r="P31" s="202"/>
      <c r="Q31" s="202"/>
      <c r="R31" s="202"/>
      <c r="S31" s="202"/>
      <c r="T31" s="202"/>
      <c r="U31" s="202"/>
      <c r="V31" s="202"/>
      <c r="W31" s="202"/>
      <c r="X31" s="202"/>
      <c r="Y31" s="202"/>
      <c r="Z31" s="202"/>
    </row>
    <row r="32" spans="1:26 16384:16384">
      <c r="A32" s="52"/>
      <c r="B32" s="17"/>
      <c r="C32" s="17"/>
      <c r="D32" s="17"/>
      <c r="E32" s="17"/>
      <c r="F32" s="17"/>
      <c r="G32" s="201"/>
      <c r="H32" s="202"/>
      <c r="I32" s="202"/>
      <c r="J32" s="202"/>
      <c r="K32" s="202"/>
      <c r="L32" s="202"/>
      <c r="M32" s="202"/>
      <c r="N32" s="202"/>
      <c r="O32" s="202"/>
      <c r="P32" s="202"/>
      <c r="Q32" s="202"/>
      <c r="R32" s="202"/>
      <c r="S32" s="202"/>
      <c r="T32" s="202"/>
      <c r="U32" s="202"/>
      <c r="V32" s="202"/>
      <c r="W32" s="202"/>
      <c r="X32" s="202"/>
      <c r="Y32" s="202"/>
      <c r="Z32" s="202"/>
    </row>
    <row r="33" spans="1:27">
      <c r="A33" s="52"/>
      <c r="B33" s="214" t="s">
        <v>36</v>
      </c>
      <c r="C33" s="215"/>
      <c r="D33" s="215"/>
      <c r="E33" s="215"/>
      <c r="F33" s="215"/>
      <c r="G33" s="298">
        <f>NPV(0%,(H28:Z28))</f>
        <v>13536.509018742858</v>
      </c>
      <c r="H33" s="216"/>
      <c r="I33" s="199"/>
      <c r="J33" s="199"/>
      <c r="K33" s="199"/>
      <c r="L33" s="199"/>
      <c r="M33" s="199"/>
      <c r="N33" s="199"/>
      <c r="O33" s="199"/>
      <c r="P33" s="199"/>
      <c r="Q33" s="199"/>
      <c r="R33" s="199"/>
      <c r="S33" s="199"/>
      <c r="T33" s="199"/>
      <c r="U33" s="199"/>
      <c r="V33" s="199"/>
      <c r="W33" s="199"/>
      <c r="X33" s="199"/>
      <c r="Y33" s="199"/>
      <c r="Z33" s="199"/>
    </row>
    <row r="34" spans="1:27">
      <c r="A34" s="52"/>
      <c r="B34" s="217" t="s">
        <v>37</v>
      </c>
      <c r="C34" s="218"/>
      <c r="D34" s="218"/>
      <c r="E34" s="218"/>
      <c r="F34" s="218"/>
      <c r="G34" s="300">
        <f>IRR(C25:Z25,0.1)</f>
        <v>0.20191951724326063</v>
      </c>
      <c r="H34" s="219"/>
      <c r="I34" s="199"/>
      <c r="J34" s="199"/>
      <c r="K34" s="199"/>
      <c r="L34" s="199"/>
      <c r="M34" s="199"/>
      <c r="N34" s="199"/>
      <c r="O34" s="199"/>
      <c r="P34" s="199"/>
      <c r="Q34" s="199"/>
      <c r="R34" s="199"/>
      <c r="S34" s="199"/>
      <c r="T34" s="199"/>
      <c r="U34" s="199"/>
      <c r="V34" s="199"/>
      <c r="W34" s="199"/>
      <c r="X34" s="199"/>
      <c r="Y34" s="199"/>
      <c r="Z34" s="199"/>
    </row>
    <row r="35" spans="1:27">
      <c r="A35" s="52"/>
      <c r="B35" s="220" t="s">
        <v>400</v>
      </c>
      <c r="C35" s="221"/>
      <c r="D35" s="221"/>
      <c r="E35" s="221"/>
      <c r="F35" s="221"/>
      <c r="G35" s="299">
        <f>IF(SUM(H40:Z40)&lt;=25,SUM(H40:Z40)," N/A ")</f>
        <v>3.1991173514594662</v>
      </c>
      <c r="H35" s="222"/>
      <c r="I35" s="199"/>
      <c r="J35" s="199"/>
      <c r="K35" s="199"/>
      <c r="L35" s="199"/>
      <c r="M35" s="199"/>
      <c r="N35" s="199"/>
      <c r="O35" s="199"/>
      <c r="P35" s="199"/>
      <c r="Q35" s="199"/>
      <c r="R35" s="199"/>
      <c r="S35" s="199"/>
      <c r="T35" s="199"/>
      <c r="U35" s="199"/>
      <c r="V35" s="199"/>
      <c r="W35" s="199"/>
      <c r="X35" s="199"/>
      <c r="Y35" s="199"/>
      <c r="Z35" s="199"/>
    </row>
    <row r="36" spans="1:27" ht="16.5" customHeight="1">
      <c r="A36" s="52"/>
      <c r="B36" s="307" t="s">
        <v>401</v>
      </c>
      <c r="C36" s="308"/>
      <c r="D36" s="308"/>
      <c r="E36" s="308"/>
      <c r="F36" s="308"/>
      <c r="G36" s="309">
        <f>IF(SUM(H41:Z41)&lt;=25,SUM(H41:Z41)," N/A ")</f>
        <v>3.2915277142718047</v>
      </c>
      <c r="H36" s="310"/>
      <c r="I36" s="199"/>
      <c r="J36" s="199"/>
      <c r="K36" s="199"/>
      <c r="L36" s="199"/>
      <c r="M36" s="199"/>
      <c r="N36" s="199"/>
      <c r="O36" s="199"/>
      <c r="P36" s="199"/>
      <c r="Q36" s="199"/>
      <c r="R36" s="199"/>
      <c r="S36" s="199"/>
      <c r="T36" s="199"/>
      <c r="U36" s="199"/>
      <c r="V36" s="199"/>
      <c r="W36" s="199"/>
      <c r="X36" s="199"/>
      <c r="Y36" s="199"/>
      <c r="Z36" s="199"/>
    </row>
    <row r="37" spans="1:27" ht="19.5" customHeight="1">
      <c r="A37" s="286"/>
      <c r="H37" s="223">
        <v>1</v>
      </c>
      <c r="I37" s="301">
        <v>2</v>
      </c>
      <c r="J37" s="301">
        <v>3</v>
      </c>
      <c r="K37" s="301">
        <v>4</v>
      </c>
      <c r="L37" s="301">
        <v>5</v>
      </c>
      <c r="M37" s="301">
        <v>6</v>
      </c>
      <c r="N37" s="301">
        <v>7</v>
      </c>
      <c r="O37" s="301">
        <v>8</v>
      </c>
      <c r="P37" s="301">
        <v>9</v>
      </c>
      <c r="Q37" s="301">
        <v>10</v>
      </c>
      <c r="R37" s="301">
        <v>11</v>
      </c>
      <c r="S37" s="301">
        <v>12</v>
      </c>
      <c r="T37" s="301">
        <v>13</v>
      </c>
      <c r="U37" s="301">
        <v>14</v>
      </c>
      <c r="V37" s="301">
        <v>15</v>
      </c>
      <c r="W37" s="301">
        <v>16</v>
      </c>
      <c r="X37" s="301">
        <v>17</v>
      </c>
      <c r="Y37" s="301">
        <v>18</v>
      </c>
      <c r="Z37" s="302">
        <v>19</v>
      </c>
    </row>
    <row r="38" spans="1:27" ht="14.25" customHeight="1">
      <c r="A38" s="2"/>
      <c r="B38" s="303" t="s">
        <v>402</v>
      </c>
      <c r="H38" s="223">
        <f t="shared" ref="H38:Z38" si="12">IF(H30&lt;0,1,IF(H29=0,0,-G30/H29))</f>
        <v>1</v>
      </c>
      <c r="I38" s="223">
        <f t="shared" si="12"/>
        <v>1</v>
      </c>
      <c r="J38" s="223">
        <f t="shared" si="12"/>
        <v>1</v>
      </c>
      <c r="K38" s="223">
        <f t="shared" si="12"/>
        <v>0.19911735145946627</v>
      </c>
      <c r="L38" s="223">
        <f t="shared" si="12"/>
        <v>-0.75545558144723113</v>
      </c>
      <c r="M38" s="223">
        <f t="shared" si="12"/>
        <v>-1.6570042285062332</v>
      </c>
      <c r="N38" s="223">
        <f t="shared" si="12"/>
        <v>-2.507684890956865</v>
      </c>
      <c r="O38" s="223">
        <f t="shared" si="12"/>
        <v>-3.3113674820300392</v>
      </c>
      <c r="P38" s="223">
        <f t="shared" si="12"/>
        <v>-4.0734088411423146</v>
      </c>
      <c r="Q38" s="223">
        <f t="shared" si="12"/>
        <v>-4.7820020578788967</v>
      </c>
      <c r="R38" s="223">
        <f t="shared" si="12"/>
        <v>-5.4523929622625094</v>
      </c>
      <c r="S38" s="223">
        <f t="shared" si="12"/>
        <v>-6.0857403893335285</v>
      </c>
      <c r="T38" s="223">
        <f t="shared" si="12"/>
        <v>-6.6798690821288034</v>
      </c>
      <c r="U38" s="223">
        <f t="shared" si="12"/>
        <v>-7.2394968701936779</v>
      </c>
      <c r="V38" s="223">
        <f t="shared" si="12"/>
        <v>-7.7669365681612925</v>
      </c>
      <c r="W38" s="223">
        <f t="shared" si="12"/>
        <v>-8.2699373078191982</v>
      </c>
      <c r="X38" s="223">
        <f t="shared" si="12"/>
        <v>-8.7460469466593196</v>
      </c>
      <c r="Y38" s="223">
        <f t="shared" si="12"/>
        <v>-9.1988135955162669</v>
      </c>
      <c r="Z38" s="306">
        <f t="shared" si="12"/>
        <v>-9.6215532657981839</v>
      </c>
    </row>
    <row r="39" spans="1:27">
      <c r="A39" s="63"/>
      <c r="B39" s="303" t="s">
        <v>403</v>
      </c>
      <c r="H39" s="223">
        <f>IF(H30&lt;0,1,IF(H28=0,0,-G30/H28))</f>
        <v>1</v>
      </c>
      <c r="I39" s="223">
        <f>IF(I30&lt;0,1,IF(I28=0,0,-H30/I28))</f>
        <v>1</v>
      </c>
      <c r="J39" s="223">
        <f t="shared" ref="J39:Z39" si="13">IF(J30&lt;0,1,IF(J28=0,0,-I30/J28))</f>
        <v>1</v>
      </c>
      <c r="K39" s="223">
        <f t="shared" si="13"/>
        <v>0.29152771427180463</v>
      </c>
      <c r="L39" s="223">
        <f t="shared" si="13"/>
        <v>-1.2166687684765807</v>
      </c>
      <c r="M39" s="223">
        <f t="shared" si="13"/>
        <v>-2.9354840680567329</v>
      </c>
      <c r="N39" s="223">
        <f t="shared" si="13"/>
        <v>-4.8867684284192814</v>
      </c>
      <c r="O39" s="223">
        <f t="shared" si="13"/>
        <v>-7.0982102802774731</v>
      </c>
      <c r="P39" s="223">
        <f t="shared" si="13"/>
        <v>-9.6048849714705131</v>
      </c>
      <c r="Q39" s="223">
        <f t="shared" si="13"/>
        <v>-12.403281781806083</v>
      </c>
      <c r="R39" s="223">
        <f t="shared" si="13"/>
        <v>-15.556313448907769</v>
      </c>
      <c r="S39" s="223">
        <f t="shared" si="13"/>
        <v>-19.099660331241473</v>
      </c>
      <c r="T39" s="223">
        <f t="shared" si="13"/>
        <v>-23.060719748147751</v>
      </c>
      <c r="U39" s="223">
        <f t="shared" si="13"/>
        <v>-27.491977316824467</v>
      </c>
      <c r="V39" s="223">
        <f t="shared" si="13"/>
        <v>-32.444421561319281</v>
      </c>
      <c r="W39" s="223">
        <f t="shared" si="13"/>
        <v>-38.000138528296993</v>
      </c>
      <c r="X39" s="223">
        <f t="shared" si="13"/>
        <v>-44.206634403042806</v>
      </c>
      <c r="Y39" s="223">
        <f t="shared" si="13"/>
        <v>-51.144642973298701</v>
      </c>
      <c r="Z39" s="306">
        <f t="shared" si="13"/>
        <v>-58.84454464371904</v>
      </c>
    </row>
    <row r="40" spans="1:27">
      <c r="A40" s="2"/>
      <c r="B40" s="303" t="s">
        <v>404</v>
      </c>
      <c r="H40" s="296">
        <f>IF(H38&gt;0,H38,0)</f>
        <v>1</v>
      </c>
      <c r="I40" s="296">
        <f t="shared" ref="I40:Z40" si="14">IF(I38&gt;0,I38,0)</f>
        <v>1</v>
      </c>
      <c r="J40" s="296">
        <f t="shared" si="14"/>
        <v>1</v>
      </c>
      <c r="K40" s="296">
        <f t="shared" si="14"/>
        <v>0.19911735145946627</v>
      </c>
      <c r="L40" s="296">
        <f t="shared" si="14"/>
        <v>0</v>
      </c>
      <c r="M40" s="296">
        <f t="shared" si="14"/>
        <v>0</v>
      </c>
      <c r="N40" s="296">
        <f t="shared" si="14"/>
        <v>0</v>
      </c>
      <c r="O40" s="296">
        <f t="shared" si="14"/>
        <v>0</v>
      </c>
      <c r="P40" s="296">
        <f t="shared" si="14"/>
        <v>0</v>
      </c>
      <c r="Q40" s="296">
        <f t="shared" si="14"/>
        <v>0</v>
      </c>
      <c r="R40" s="296">
        <f t="shared" si="14"/>
        <v>0</v>
      </c>
      <c r="S40" s="296">
        <f t="shared" si="14"/>
        <v>0</v>
      </c>
      <c r="T40" s="296">
        <f t="shared" si="14"/>
        <v>0</v>
      </c>
      <c r="U40" s="296">
        <f t="shared" si="14"/>
        <v>0</v>
      </c>
      <c r="V40" s="296">
        <f t="shared" si="14"/>
        <v>0</v>
      </c>
      <c r="W40" s="296">
        <f t="shared" si="14"/>
        <v>0</v>
      </c>
      <c r="X40" s="296">
        <f t="shared" si="14"/>
        <v>0</v>
      </c>
      <c r="Y40" s="296">
        <f t="shared" si="14"/>
        <v>0</v>
      </c>
      <c r="Z40" s="297">
        <f t="shared" si="14"/>
        <v>0</v>
      </c>
      <c r="AA40" s="297"/>
    </row>
    <row r="41" spans="1:27">
      <c r="A41" s="2"/>
      <c r="B41" s="295" t="s">
        <v>405</v>
      </c>
      <c r="C41" s="225"/>
      <c r="D41" s="225"/>
      <c r="E41" s="225"/>
      <c r="F41" s="225"/>
      <c r="G41" s="225"/>
      <c r="H41" s="304">
        <f>IF(H39&gt;0,H39,0)</f>
        <v>1</v>
      </c>
      <c r="I41" s="304">
        <f t="shared" ref="I41:Z41" si="15">IF(I39&gt;0,I39,0)</f>
        <v>1</v>
      </c>
      <c r="J41" s="304">
        <f t="shared" si="15"/>
        <v>1</v>
      </c>
      <c r="K41" s="304">
        <f t="shared" si="15"/>
        <v>0.29152771427180463</v>
      </c>
      <c r="L41" s="304">
        <f t="shared" si="15"/>
        <v>0</v>
      </c>
      <c r="M41" s="304">
        <f t="shared" si="15"/>
        <v>0</v>
      </c>
      <c r="N41" s="304">
        <f t="shared" si="15"/>
        <v>0</v>
      </c>
      <c r="O41" s="304">
        <f t="shared" si="15"/>
        <v>0</v>
      </c>
      <c r="P41" s="304">
        <f t="shared" si="15"/>
        <v>0</v>
      </c>
      <c r="Q41" s="304">
        <f t="shared" si="15"/>
        <v>0</v>
      </c>
      <c r="R41" s="304">
        <f t="shared" si="15"/>
        <v>0</v>
      </c>
      <c r="S41" s="304">
        <f t="shared" si="15"/>
        <v>0</v>
      </c>
      <c r="T41" s="304">
        <f t="shared" si="15"/>
        <v>0</v>
      </c>
      <c r="U41" s="304">
        <f t="shared" si="15"/>
        <v>0</v>
      </c>
      <c r="V41" s="304">
        <f t="shared" si="15"/>
        <v>0</v>
      </c>
      <c r="W41" s="304">
        <f t="shared" si="15"/>
        <v>0</v>
      </c>
      <c r="X41" s="304">
        <f t="shared" si="15"/>
        <v>0</v>
      </c>
      <c r="Y41" s="304">
        <f t="shared" si="15"/>
        <v>0</v>
      </c>
      <c r="Z41" s="305">
        <f t="shared" si="15"/>
        <v>0</v>
      </c>
    </row>
    <row r="42" spans="1:27">
      <c r="H42" s="1"/>
      <c r="I42" s="1"/>
      <c r="J42" s="1"/>
      <c r="K42" s="1"/>
      <c r="L42" s="1"/>
      <c r="M42" s="1"/>
      <c r="N42" s="1"/>
      <c r="O42" s="1"/>
      <c r="P42" s="1"/>
      <c r="Q42" s="1"/>
      <c r="R42" s="1"/>
      <c r="S42" s="1"/>
      <c r="T42" s="1"/>
      <c r="U42" s="1"/>
      <c r="V42" s="1"/>
      <c r="W42" s="1"/>
      <c r="X42" s="1"/>
      <c r="Y42" s="1"/>
      <c r="Z42" s="1"/>
    </row>
    <row r="43" spans="1:27">
      <c r="A43" s="1"/>
      <c r="H43" s="1"/>
      <c r="I43" s="1"/>
      <c r="J43" s="1"/>
      <c r="K43" s="1"/>
      <c r="L43" s="1"/>
      <c r="M43" s="1"/>
      <c r="N43" s="1"/>
      <c r="O43" s="1"/>
      <c r="P43" s="1"/>
      <c r="Q43" s="1"/>
      <c r="R43" s="1"/>
      <c r="S43" s="1"/>
      <c r="T43" s="1"/>
      <c r="U43" s="1"/>
      <c r="V43" s="1"/>
      <c r="W43" s="1"/>
      <c r="X43" s="1"/>
      <c r="Y43" s="1"/>
      <c r="Z43" s="1"/>
    </row>
    <row r="44" spans="1:27">
      <c r="A44" s="1"/>
      <c r="I44" s="229"/>
      <c r="J44" s="1093"/>
      <c r="K44" s="1093"/>
      <c r="L44" s="1093"/>
      <c r="M44" s="1093"/>
      <c r="N44" s="1093"/>
    </row>
    <row r="45" spans="1:27">
      <c r="A45" s="1"/>
      <c r="B45" s="227" t="s">
        <v>399</v>
      </c>
      <c r="C45" s="228">
        <v>4.4999999999999998E-2</v>
      </c>
      <c r="H45" s="32">
        <f>(H20*10^7)/350000*70%</f>
        <v>18644.735720542056</v>
      </c>
      <c r="I45" s="32">
        <f>(I20*10^7/350000*90%)</f>
        <v>29963.005219266764</v>
      </c>
    </row>
    <row r="46" spans="1:27">
      <c r="A46" s="1"/>
      <c r="B46" s="227" t="s">
        <v>349</v>
      </c>
      <c r="C46" s="291">
        <v>4</v>
      </c>
      <c r="L46" s="226"/>
      <c r="M46" s="226"/>
      <c r="N46" s="226"/>
      <c r="O46" s="226"/>
      <c r="P46" s="226"/>
      <c r="Q46" s="226"/>
    </row>
    <row r="47" spans="1:27">
      <c r="A47" s="1"/>
    </row>
    <row r="48" spans="1:27">
      <c r="B48" s="287" t="s">
        <v>393</v>
      </c>
      <c r="C48" s="287"/>
      <c r="D48" s="287"/>
      <c r="E48" s="287"/>
      <c r="F48" s="287"/>
      <c r="G48" s="287"/>
      <c r="H48" s="158">
        <f t="shared" ref="H48:Z48" si="16">H10/(350000*H3)*10^7</f>
        <v>74749.50916666667</v>
      </c>
      <c r="I48" s="158">
        <f t="shared" si="16"/>
        <v>79050.595924116657</v>
      </c>
      <c r="J48" s="158">
        <f t="shared" si="16"/>
        <v>83599.167213590321</v>
      </c>
      <c r="K48" s="158">
        <f t="shared" si="16"/>
        <v>88409.463295060283</v>
      </c>
      <c r="L48" s="158">
        <f t="shared" si="16"/>
        <v>93496.543813058059</v>
      </c>
      <c r="M48" s="158">
        <f t="shared" si="16"/>
        <v>98876.334944061411</v>
      </c>
      <c r="N48" s="158">
        <f t="shared" si="16"/>
        <v>104565.67925674266</v>
      </c>
      <c r="O48" s="158">
        <f t="shared" si="16"/>
        <v>110582.38844117564</v>
      </c>
      <c r="P48" s="158">
        <f t="shared" si="16"/>
        <v>116945.29907208083</v>
      </c>
      <c r="Q48" s="158">
        <f t="shared" si="16"/>
        <v>123674.33158068836</v>
      </c>
      <c r="R48" s="158">
        <f t="shared" si="16"/>
        <v>130790.55261984115</v>
      </c>
      <c r="S48" s="158">
        <f t="shared" si="16"/>
        <v>138316.24101758681</v>
      </c>
      <c r="T48" s="158">
        <f t="shared" si="16"/>
        <v>146274.95752573875</v>
      </c>
      <c r="U48" s="158">
        <f t="shared" si="16"/>
        <v>154691.61858176976</v>
      </c>
      <c r="V48" s="158">
        <f t="shared" si="16"/>
        <v>163592.57431496476</v>
      </c>
      <c r="W48" s="158">
        <f t="shared" si="16"/>
        <v>173005.69104104786</v>
      </c>
      <c r="X48" s="158">
        <f t="shared" si="16"/>
        <v>182960.43850354964</v>
      </c>
      <c r="Y48" s="158">
        <f t="shared" si="16"/>
        <v>193487.98213504389</v>
      </c>
      <c r="Z48" s="288">
        <f t="shared" si="16"/>
        <v>204621.28062709427</v>
      </c>
    </row>
    <row r="49" spans="2:26">
      <c r="B49" s="1" t="s">
        <v>394</v>
      </c>
      <c r="H49" s="75">
        <f>H20/((350000*H3))*10^7</f>
        <v>38050.481062330728</v>
      </c>
      <c r="I49" s="75">
        <f>I20/((350000*I3))*10^7</f>
        <v>36991.364468230575</v>
      </c>
      <c r="J49" s="75">
        <f>J20/((350000*J3))*10^7</f>
        <v>37928.088270442619</v>
      </c>
      <c r="K49" s="75">
        <f t="shared" ref="K49:Z49" si="17">K20/((350000))*10^7</f>
        <v>40057.465970969111</v>
      </c>
      <c r="L49" s="75">
        <f t="shared" si="17"/>
        <v>42237.043413367304</v>
      </c>
      <c r="M49" s="75">
        <f t="shared" si="17"/>
        <v>44571.2375093054</v>
      </c>
      <c r="N49" s="75">
        <f t="shared" si="17"/>
        <v>47027.001237857701</v>
      </c>
      <c r="O49" s="75">
        <f t="shared" si="17"/>
        <v>49632.477980394076</v>
      </c>
      <c r="P49" s="75">
        <f t="shared" si="17"/>
        <v>52434.843028693613</v>
      </c>
      <c r="Q49" s="75">
        <f t="shared" si="17"/>
        <v>55232.721962934418</v>
      </c>
      <c r="R49" s="75">
        <f t="shared" si="17"/>
        <v>58211.4978097149</v>
      </c>
      <c r="S49" s="75">
        <f t="shared" si="17"/>
        <v>61364.456599485828</v>
      </c>
      <c r="T49" s="75">
        <f t="shared" si="17"/>
        <v>64647.554326864069</v>
      </c>
      <c r="U49" s="75">
        <f t="shared" si="17"/>
        <v>68098.892412840811</v>
      </c>
      <c r="V49" s="75">
        <f t="shared" si="17"/>
        <v>71731.325032310429</v>
      </c>
      <c r="W49" s="75">
        <f t="shared" si="17"/>
        <v>75623.846952382926</v>
      </c>
      <c r="X49" s="75">
        <f t="shared" si="17"/>
        <v>79745.398025570525</v>
      </c>
      <c r="Y49" s="75">
        <f t="shared" si="17"/>
        <v>84132.724562475356</v>
      </c>
      <c r="Z49" s="75">
        <f t="shared" si="17"/>
        <v>88705.081146409604</v>
      </c>
    </row>
    <row r="50" spans="2:26">
      <c r="B50" s="225" t="s">
        <v>395</v>
      </c>
      <c r="C50" s="225"/>
      <c r="D50" s="225"/>
      <c r="E50" s="225"/>
      <c r="F50" s="225"/>
      <c r="G50" s="225"/>
      <c r="H50" s="289">
        <f>H48-H49</f>
        <v>36699.028104335943</v>
      </c>
      <c r="I50" s="289">
        <f t="shared" ref="I50:Z50" si="18">I48-I49</f>
        <v>42059.231455886082</v>
      </c>
      <c r="J50" s="289">
        <f t="shared" si="18"/>
        <v>45671.078943147702</v>
      </c>
      <c r="K50" s="289">
        <f t="shared" si="18"/>
        <v>48351.997324091171</v>
      </c>
      <c r="L50" s="289">
        <f t="shared" si="18"/>
        <v>51259.500399690754</v>
      </c>
      <c r="M50" s="289">
        <f t="shared" si="18"/>
        <v>54305.097434756011</v>
      </c>
      <c r="N50" s="289">
        <f t="shared" si="18"/>
        <v>57538.678018884959</v>
      </c>
      <c r="O50" s="289">
        <f t="shared" si="18"/>
        <v>60949.910460781568</v>
      </c>
      <c r="P50" s="289">
        <f t="shared" si="18"/>
        <v>64510.456043387218</v>
      </c>
      <c r="Q50" s="289">
        <f t="shared" si="18"/>
        <v>68441.609617753944</v>
      </c>
      <c r="R50" s="289">
        <f t="shared" si="18"/>
        <v>72579.054810126254</v>
      </c>
      <c r="S50" s="289">
        <f t="shared" si="18"/>
        <v>76951.784418100986</v>
      </c>
      <c r="T50" s="289">
        <f t="shared" si="18"/>
        <v>81627.403198874672</v>
      </c>
      <c r="U50" s="289">
        <f t="shared" si="18"/>
        <v>86592.726168928944</v>
      </c>
      <c r="V50" s="289">
        <f t="shared" si="18"/>
        <v>91861.249282654331</v>
      </c>
      <c r="W50" s="289">
        <f t="shared" si="18"/>
        <v>97381.844088664933</v>
      </c>
      <c r="X50" s="289">
        <f t="shared" si="18"/>
        <v>103215.04047797911</v>
      </c>
      <c r="Y50" s="289">
        <f t="shared" si="18"/>
        <v>109355.25757256853</v>
      </c>
      <c r="Z50" s="42">
        <f t="shared" si="18"/>
        <v>115916.19948068466</v>
      </c>
    </row>
    <row r="51" spans="2:26">
      <c r="I51" s="226"/>
      <c r="J51" s="226"/>
      <c r="K51" s="226"/>
      <c r="L51" s="226"/>
      <c r="M51" s="226"/>
      <c r="N51" s="226"/>
      <c r="P51" s="226"/>
    </row>
    <row r="52" spans="2:26">
      <c r="B52" s="1" t="s">
        <v>75</v>
      </c>
      <c r="I52" s="226"/>
      <c r="J52" s="226"/>
      <c r="K52" s="226"/>
      <c r="L52" s="226"/>
      <c r="M52" s="226"/>
      <c r="N52" s="226"/>
      <c r="P52" s="226"/>
    </row>
    <row r="53" spans="2:26">
      <c r="B53" s="1" t="s">
        <v>74</v>
      </c>
    </row>
    <row r="57" spans="2:26">
      <c r="B57" s="1" t="s">
        <v>38</v>
      </c>
    </row>
    <row r="58" spans="2:26">
      <c r="B58" s="1" t="s">
        <v>39</v>
      </c>
    </row>
    <row r="59" spans="2:26">
      <c r="B59" s="1" t="s">
        <v>40</v>
      </c>
    </row>
    <row r="63" spans="2:26">
      <c r="H63" s="199"/>
      <c r="I63" s="199"/>
      <c r="J63" s="199"/>
      <c r="K63" s="199"/>
      <c r="L63" s="199"/>
      <c r="M63" s="199"/>
    </row>
    <row r="64" spans="2:26">
      <c r="H64" s="231"/>
      <c r="I64" s="231"/>
      <c r="J64" s="231"/>
      <c r="K64" s="231"/>
      <c r="L64" s="231">
        <v>0.05</v>
      </c>
      <c r="M64" s="231"/>
    </row>
    <row r="65" spans="8:13">
      <c r="H65" s="231"/>
      <c r="I65" s="231"/>
      <c r="J65" s="231"/>
      <c r="K65" s="231"/>
      <c r="L65" s="231"/>
      <c r="M65" s="231"/>
    </row>
  </sheetData>
  <mergeCells count="9">
    <mergeCell ref="R4:Z4"/>
    <mergeCell ref="A1:F1"/>
    <mergeCell ref="B5:B6"/>
    <mergeCell ref="J44:N44"/>
    <mergeCell ref="A7:G7"/>
    <mergeCell ref="A4:B4"/>
    <mergeCell ref="A2:B2"/>
    <mergeCell ref="A3:B3"/>
    <mergeCell ref="H4:Q4"/>
  </mergeCells>
  <hyperlinks>
    <hyperlink ref="B33" r:id="rId1" display="NPV@12%" xr:uid="{4C50BE4B-43D2-4EB7-A9AC-72D47A5A55A5}"/>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6B075-0EC5-420D-93C0-3AF1CCA0F42F}">
  <sheetPr codeName="Sheet10"/>
  <dimension ref="A1:Z83"/>
  <sheetViews>
    <sheetView showGridLines="0" zoomScale="96" zoomScaleNormal="96" workbookViewId="0">
      <pane ySplit="8" topLeftCell="A9" activePane="bottomLeft" state="frozen"/>
      <selection activeCell="G10" sqref="G10"/>
      <selection pane="bottomLeft" activeCell="C44" sqref="C44"/>
    </sheetView>
  </sheetViews>
  <sheetFormatPr defaultColWidth="8.7109375" defaultRowHeight="12.75"/>
  <cols>
    <col min="1" max="1" width="8.85546875" style="58" bestFit="1" customWidth="1"/>
    <col min="2" max="2" width="60" style="1" bestFit="1" customWidth="1"/>
    <col min="3" max="3" width="21.28515625" style="1" bestFit="1" customWidth="1"/>
    <col min="4" max="4" width="8.140625" style="1" customWidth="1"/>
    <col min="5" max="5" width="20" style="1" bestFit="1" customWidth="1"/>
    <col min="6" max="6" width="20.42578125" style="1" customWidth="1"/>
    <col min="7" max="7" width="11.140625" style="58" customWidth="1"/>
    <col min="8" max="8" width="18" style="32" bestFit="1" customWidth="1"/>
    <col min="9" max="9" width="17.140625" style="32" customWidth="1"/>
    <col min="10" max="10" width="18.5703125" style="32" bestFit="1" customWidth="1"/>
    <col min="11" max="11" width="18.7109375" style="32" bestFit="1" customWidth="1"/>
    <col min="12" max="12" width="18.5703125" style="32" bestFit="1" customWidth="1"/>
    <col min="13" max="17" width="18.7109375" style="32" bestFit="1" customWidth="1"/>
    <col min="18" max="18" width="15" style="32" customWidth="1"/>
    <col min="19" max="19" width="16.28515625" style="32" customWidth="1"/>
    <col min="20" max="20" width="16.42578125" style="32" customWidth="1"/>
    <col min="21" max="21" width="18" style="32" customWidth="1"/>
    <col min="22" max="22" width="18.7109375" style="32" customWidth="1"/>
    <col min="23" max="23" width="19.140625" style="32" customWidth="1"/>
    <col min="24" max="24" width="20.42578125" style="32" customWidth="1"/>
    <col min="25" max="25" width="19" style="32" customWidth="1"/>
    <col min="26" max="26" width="19.28515625" style="32" customWidth="1"/>
    <col min="27" max="16384" width="8.7109375" style="1"/>
  </cols>
  <sheetData>
    <row r="1" spans="1:26" ht="12.75" customHeight="1">
      <c r="A1" s="1102" t="str">
        <f>'Opex PVC'!A22</f>
        <v>Capacity for 500 KTPA PVC Plant (350 KTPA from captive Ethylene and 150 KTPA EDC / VCM Outsourced)</v>
      </c>
      <c r="B1" s="1103"/>
      <c r="C1" s="1103"/>
      <c r="D1" s="1103"/>
      <c r="E1" s="1103"/>
      <c r="F1" s="1104"/>
    </row>
    <row r="2" spans="1:26" s="167" customFormat="1" ht="15" customHeight="1">
      <c r="A2" s="1089" t="s">
        <v>445</v>
      </c>
      <c r="B2" s="1090"/>
      <c r="C2" s="166">
        <v>1</v>
      </c>
      <c r="D2" s="166">
        <v>2</v>
      </c>
      <c r="E2" s="166">
        <v>3</v>
      </c>
      <c r="F2" s="166">
        <v>4</v>
      </c>
      <c r="G2" s="166"/>
      <c r="H2" s="166">
        <v>5</v>
      </c>
      <c r="I2" s="166">
        <v>6</v>
      </c>
      <c r="J2" s="166">
        <v>7</v>
      </c>
      <c r="K2" s="166">
        <v>8</v>
      </c>
      <c r="L2" s="166">
        <v>9</v>
      </c>
      <c r="M2" s="166">
        <v>10</v>
      </c>
      <c r="N2" s="166">
        <v>11</v>
      </c>
      <c r="O2" s="166">
        <v>12</v>
      </c>
      <c r="P2" s="166">
        <v>13</v>
      </c>
      <c r="Q2" s="166">
        <v>14</v>
      </c>
      <c r="R2" s="166">
        <v>15</v>
      </c>
      <c r="S2" s="166">
        <v>16</v>
      </c>
      <c r="T2" s="166">
        <v>17</v>
      </c>
      <c r="U2" s="166">
        <v>18</v>
      </c>
      <c r="V2" s="166">
        <v>19</v>
      </c>
      <c r="W2" s="166">
        <v>20</v>
      </c>
      <c r="X2" s="166">
        <v>21</v>
      </c>
      <c r="Y2" s="166">
        <v>22</v>
      </c>
      <c r="Z2" s="166">
        <v>23</v>
      </c>
    </row>
    <row r="3" spans="1:26" s="167" customFormat="1" ht="15" customHeight="1">
      <c r="A3" s="1098" t="s">
        <v>223</v>
      </c>
      <c r="B3" s="1099"/>
      <c r="C3" s="158"/>
      <c r="D3" s="158"/>
      <c r="E3" s="158"/>
      <c r="F3" s="158"/>
      <c r="G3" s="158"/>
      <c r="H3" s="168">
        <v>0.7</v>
      </c>
      <c r="I3" s="168">
        <v>0.9</v>
      </c>
      <c r="J3" s="168">
        <v>1</v>
      </c>
      <c r="K3" s="168">
        <v>1</v>
      </c>
      <c r="L3" s="168">
        <v>1</v>
      </c>
      <c r="M3" s="168">
        <v>1</v>
      </c>
      <c r="N3" s="168">
        <v>1</v>
      </c>
      <c r="O3" s="168">
        <v>1</v>
      </c>
      <c r="P3" s="168">
        <v>1</v>
      </c>
      <c r="Q3" s="168">
        <v>1</v>
      </c>
      <c r="R3" s="168">
        <v>1</v>
      </c>
      <c r="S3" s="168">
        <v>1</v>
      </c>
      <c r="T3" s="168">
        <v>1</v>
      </c>
      <c r="U3" s="168">
        <v>1</v>
      </c>
      <c r="V3" s="168">
        <v>1</v>
      </c>
      <c r="W3" s="168">
        <v>1</v>
      </c>
      <c r="X3" s="168">
        <v>1</v>
      </c>
      <c r="Y3" s="168">
        <v>1</v>
      </c>
      <c r="Z3" s="168">
        <v>1</v>
      </c>
    </row>
    <row r="4" spans="1:26">
      <c r="A4" s="1096"/>
      <c r="B4" s="169" t="s">
        <v>24</v>
      </c>
      <c r="C4" s="169"/>
      <c r="D4" s="169"/>
      <c r="E4" s="169"/>
      <c r="F4" s="169"/>
      <c r="G4" s="169"/>
      <c r="H4" s="1088" t="s">
        <v>25</v>
      </c>
      <c r="I4" s="1088"/>
      <c r="J4" s="1088"/>
      <c r="K4" s="1088"/>
      <c r="L4" s="1088"/>
      <c r="M4" s="1088"/>
      <c r="N4" s="1088"/>
      <c r="O4" s="1088"/>
      <c r="P4" s="1088"/>
      <c r="Q4" s="1088"/>
      <c r="R4" s="1088" t="s">
        <v>25</v>
      </c>
      <c r="S4" s="1088"/>
      <c r="T4" s="1088"/>
      <c r="U4" s="1088"/>
      <c r="V4" s="1088"/>
      <c r="W4" s="1088"/>
      <c r="X4" s="1088"/>
      <c r="Y4" s="1088"/>
      <c r="Z4" s="1088"/>
    </row>
    <row r="5" spans="1:26">
      <c r="A5" s="1100"/>
      <c r="B5" s="1091" t="s">
        <v>26</v>
      </c>
      <c r="C5" s="171">
        <v>2023</v>
      </c>
      <c r="D5" s="171">
        <v>2024</v>
      </c>
      <c r="E5" s="171">
        <v>2025</v>
      </c>
      <c r="F5" s="171">
        <v>2026</v>
      </c>
      <c r="G5" s="171" t="s">
        <v>151</v>
      </c>
      <c r="H5" s="171">
        <v>2027</v>
      </c>
      <c r="I5" s="171">
        <v>2028</v>
      </c>
      <c r="J5" s="171">
        <v>2029</v>
      </c>
      <c r="K5" s="171">
        <v>2030</v>
      </c>
      <c r="L5" s="171">
        <v>2031</v>
      </c>
      <c r="M5" s="171">
        <v>2032</v>
      </c>
      <c r="N5" s="171">
        <v>2033</v>
      </c>
      <c r="O5" s="171">
        <v>2034</v>
      </c>
      <c r="P5" s="171">
        <v>2035</v>
      </c>
      <c r="Q5" s="171">
        <v>2036</v>
      </c>
      <c r="R5" s="171">
        <v>2037</v>
      </c>
      <c r="S5" s="171">
        <v>2038</v>
      </c>
      <c r="T5" s="171">
        <v>2039</v>
      </c>
      <c r="U5" s="171">
        <v>2040</v>
      </c>
      <c r="V5" s="171">
        <v>2041</v>
      </c>
      <c r="W5" s="171">
        <v>2042</v>
      </c>
      <c r="X5" s="171">
        <v>2043</v>
      </c>
      <c r="Y5" s="171">
        <v>2044</v>
      </c>
      <c r="Z5" s="171">
        <v>2045</v>
      </c>
    </row>
    <row r="6" spans="1:26">
      <c r="A6" s="1101"/>
      <c r="B6" s="1092"/>
      <c r="C6" s="172">
        <v>0.05</v>
      </c>
      <c r="D6" s="172">
        <v>0.25</v>
      </c>
      <c r="E6" s="172">
        <v>0.35</v>
      </c>
      <c r="F6" s="172">
        <v>0.35</v>
      </c>
      <c r="G6" s="172"/>
      <c r="H6" s="174"/>
      <c r="I6" s="174"/>
      <c r="J6" s="174"/>
      <c r="K6" s="174"/>
      <c r="L6" s="174"/>
      <c r="M6" s="174"/>
      <c r="N6" s="175"/>
      <c r="O6" s="174"/>
      <c r="P6" s="175"/>
      <c r="Q6" s="174"/>
      <c r="R6" s="176"/>
      <c r="S6" s="176"/>
      <c r="T6" s="176"/>
      <c r="U6" s="176"/>
      <c r="V6" s="176"/>
      <c r="W6" s="176"/>
      <c r="X6" s="176"/>
      <c r="Y6" s="176"/>
      <c r="Z6" s="176"/>
    </row>
    <row r="7" spans="1:26" ht="19.5" customHeight="1">
      <c r="A7" s="1094" t="s">
        <v>243</v>
      </c>
      <c r="B7" s="1095"/>
      <c r="C7" s="1095"/>
      <c r="D7" s="1095"/>
      <c r="E7" s="1095"/>
      <c r="F7" s="1095"/>
      <c r="G7" s="1095"/>
      <c r="H7" s="177"/>
      <c r="I7" s="177"/>
      <c r="J7" s="177"/>
      <c r="K7" s="177"/>
      <c r="L7" s="177"/>
      <c r="M7" s="177"/>
      <c r="N7" s="178"/>
      <c r="O7" s="177"/>
      <c r="P7" s="178"/>
      <c r="Q7" s="177"/>
      <c r="R7" s="179"/>
      <c r="S7" s="179"/>
      <c r="T7" s="179"/>
      <c r="U7" s="179"/>
      <c r="V7" s="179"/>
      <c r="W7" s="179"/>
      <c r="X7" s="179"/>
      <c r="Y7" s="179"/>
      <c r="Z7" s="179"/>
    </row>
    <row r="8" spans="1:26" ht="21.75" customHeight="1">
      <c r="A8" s="180">
        <v>1</v>
      </c>
      <c r="B8" s="181" t="s">
        <v>241</v>
      </c>
      <c r="C8" s="182">
        <f>ROUND($G8*C$6,2)</f>
        <v>302.67</v>
      </c>
      <c r="D8" s="182">
        <f>ROUND($G8*D$6,2)</f>
        <v>1513.36</v>
      </c>
      <c r="E8" s="182">
        <f>ROUND($G8*E$6,2)</f>
        <v>2118.71</v>
      </c>
      <c r="F8" s="182">
        <f>ROUND($G8*F$6,2)</f>
        <v>2118.71</v>
      </c>
      <c r="G8" s="339">
        <f>Capex!H21</f>
        <v>6053.4501838079996</v>
      </c>
      <c r="H8" s="183"/>
      <c r="I8" s="184"/>
      <c r="J8" s="183"/>
      <c r="K8" s="183"/>
      <c r="L8" s="183"/>
      <c r="M8" s="183"/>
      <c r="N8" s="185"/>
      <c r="O8" s="183"/>
      <c r="P8" s="183"/>
      <c r="Q8" s="183"/>
      <c r="R8" s="186"/>
      <c r="S8" s="186"/>
      <c r="T8" s="186"/>
      <c r="U8" s="186"/>
      <c r="V8" s="186"/>
      <c r="W8" s="186"/>
      <c r="X8" s="186"/>
      <c r="Y8" s="186"/>
      <c r="Z8" s="186"/>
    </row>
    <row r="9" spans="1:26" s="167" customFormat="1" ht="25.5" customHeight="1">
      <c r="A9" s="187"/>
      <c r="B9" s="188" t="s">
        <v>242</v>
      </c>
      <c r="C9" s="189">
        <f>SUM(C8:C8)</f>
        <v>302.67</v>
      </c>
      <c r="D9" s="189">
        <f>SUM(D8:D8)</f>
        <v>1513.36</v>
      </c>
      <c r="E9" s="189">
        <f>SUM(E8:E8)</f>
        <v>2118.71</v>
      </c>
      <c r="F9" s="189">
        <f>SUM(F8:F8)</f>
        <v>2118.71</v>
      </c>
      <c r="G9" s="242">
        <f>-G8</f>
        <v>-6053.4501838079996</v>
      </c>
      <c r="H9" s="243"/>
      <c r="I9" s="191"/>
      <c r="J9" s="191"/>
      <c r="K9" s="191"/>
      <c r="L9" s="191"/>
      <c r="M9" s="191"/>
      <c r="N9" s="192"/>
      <c r="O9" s="192"/>
      <c r="P9" s="192"/>
      <c r="Q9" s="192"/>
      <c r="R9" s="193"/>
      <c r="S9" s="193"/>
      <c r="T9" s="193"/>
      <c r="U9" s="193"/>
      <c r="V9" s="193"/>
      <c r="W9" s="193"/>
      <c r="X9" s="193"/>
      <c r="Y9" s="193"/>
      <c r="Z9" s="193"/>
    </row>
    <row r="10" spans="1:26">
      <c r="A10" s="194">
        <v>2</v>
      </c>
      <c r="B10" s="195" t="s">
        <v>27</v>
      </c>
      <c r="C10" s="195"/>
      <c r="D10" s="195"/>
      <c r="E10" s="195"/>
      <c r="F10" s="195"/>
      <c r="G10" s="196"/>
      <c r="H10" s="197">
        <f>H11</f>
        <v>2616.2328208333329</v>
      </c>
      <c r="I10" s="197">
        <f t="shared" ref="I10:Z10" si="0">I11</f>
        <v>3557.276816585249</v>
      </c>
      <c r="J10" s="197">
        <f t="shared" si="0"/>
        <v>4179.958360679515</v>
      </c>
      <c r="K10" s="197">
        <f t="shared" si="0"/>
        <v>4420.4731647530152</v>
      </c>
      <c r="L10" s="197">
        <f t="shared" si="0"/>
        <v>4674.8271906529017</v>
      </c>
      <c r="M10" s="197">
        <f t="shared" si="0"/>
        <v>4943.81674720307</v>
      </c>
      <c r="N10" s="197">
        <f t="shared" si="0"/>
        <v>5228.2839628371339</v>
      </c>
      <c r="O10" s="197">
        <f t="shared" si="0"/>
        <v>5529.1194220587822</v>
      </c>
      <c r="P10" s="197">
        <f t="shared" si="0"/>
        <v>5847.2649536040435</v>
      </c>
      <c r="Q10" s="197">
        <f t="shared" si="0"/>
        <v>6183.7165790344188</v>
      </c>
      <c r="R10" s="197">
        <f t="shared" si="0"/>
        <v>6539.5276309920573</v>
      </c>
      <c r="S10" s="197">
        <f t="shared" si="0"/>
        <v>6915.8120508793418</v>
      </c>
      <c r="T10" s="197">
        <f t="shared" si="0"/>
        <v>7313.7478762869378</v>
      </c>
      <c r="U10" s="197">
        <f t="shared" si="0"/>
        <v>7734.5809290884881</v>
      </c>
      <c r="V10" s="197">
        <f t="shared" si="0"/>
        <v>8179.6287157482375</v>
      </c>
      <c r="W10" s="197">
        <f t="shared" si="0"/>
        <v>8650.2845520523933</v>
      </c>
      <c r="X10" s="197">
        <f t="shared" si="0"/>
        <v>9148.0219251774852</v>
      </c>
      <c r="Y10" s="197">
        <f t="shared" si="0"/>
        <v>9674.3991067521965</v>
      </c>
      <c r="Z10" s="197">
        <f t="shared" si="0"/>
        <v>10231.064031354716</v>
      </c>
    </row>
    <row r="11" spans="1:26" s="167" customFormat="1">
      <c r="A11" s="52"/>
      <c r="B11" s="162" t="s">
        <v>87</v>
      </c>
      <c r="C11" s="162"/>
      <c r="D11" s="162"/>
      <c r="E11" s="162"/>
      <c r="F11" s="162"/>
      <c r="G11" s="198">
        <v>1</v>
      </c>
      <c r="H11" s="199">
        <f>IF(H$2&lt;=$C$56,0,Sales!E9*H$3*(1+$C$55)^(H$2-$C$56-1))</f>
        <v>2616.2328208333329</v>
      </c>
      <c r="I11" s="199">
        <f>IF(I$2&lt;=$C$56,0,Sales!F9*I$3*(1+$C$55)^(I$2-$C$56-1))</f>
        <v>3557.276816585249</v>
      </c>
      <c r="J11" s="199">
        <f>IF(J$2&lt;=$C$56,0,Sales!G9*J$3*(1+$C$55)^(J$2-$C$56-1))</f>
        <v>4179.958360679515</v>
      </c>
      <c r="K11" s="199">
        <f>IF(K$2&lt;=$C$56,0,Sales!H9*K$3*(1+$C$55)^(K$2-$C$56-1))</f>
        <v>4420.4731647530152</v>
      </c>
      <c r="L11" s="199">
        <f>IF(L$2&lt;=$C$56,0,Sales!I9*L$3*(1+$C$55)^(L$2-$C$56-1))</f>
        <v>4674.8271906529017</v>
      </c>
      <c r="M11" s="199">
        <f>IF(M$2&lt;=$C$56,0,Sales!J9*M$3*(1+$C$55)^(M$2-$C$56-1))</f>
        <v>4943.81674720307</v>
      </c>
      <c r="N11" s="199">
        <f>IF(N$2&lt;=$C$56,0,Sales!K9*N$3*(1+$C$55)^(N$2-$C$56-1))</f>
        <v>5228.2839628371339</v>
      </c>
      <c r="O11" s="199">
        <f>IF(O$2&lt;=$C$56,0,Sales!L9*O$3*(1+$C$55)^(O$2-$C$56-1))</f>
        <v>5529.1194220587822</v>
      </c>
      <c r="P11" s="199">
        <f>IF(P$2&lt;=$C$56,0,Sales!M9*P$3*(1+$C$55)^(P$2-$C$56-1))</f>
        <v>5847.2649536040435</v>
      </c>
      <c r="Q11" s="199">
        <f>IF(Q$2&lt;=$C$56,0,Sales!N9*Q$3*(1+$C$55)^(Q$2-$C$56-1))</f>
        <v>6183.7165790344188</v>
      </c>
      <c r="R11" s="199">
        <f>IF(R$2&lt;=$C$56,0,Sales!O9*R$3*(1+$C$55)^(R$2-$C$56-1))</f>
        <v>6539.5276309920573</v>
      </c>
      <c r="S11" s="199">
        <f>IF(S$2&lt;=$C$56,0,Sales!P9*S$3*(1+$C$55)^(S$2-$C$56-1))</f>
        <v>6915.8120508793418</v>
      </c>
      <c r="T11" s="199">
        <f>IF(T$2&lt;=$C$56,0,Sales!Q9*T$3*(1+$C$55)^(T$2-$C$56-1))</f>
        <v>7313.7478762869378</v>
      </c>
      <c r="U11" s="199">
        <f>IF(U$2&lt;=$C$56,0,Sales!R9*U$3*(1+$C$55)^(U$2-$C$56-1))</f>
        <v>7734.5809290884881</v>
      </c>
      <c r="V11" s="199">
        <f>IF(V$2&lt;=$C$56,0,Sales!S9*V$3*(1+$C$55)^(V$2-$C$56-1))</f>
        <v>8179.6287157482375</v>
      </c>
      <c r="W11" s="199">
        <f>IF(W$2&lt;=$C$56,0,Sales!T9*W$3*(1+$C$55)^(W$2-$C$56-1))</f>
        <v>8650.2845520523933</v>
      </c>
      <c r="X11" s="199">
        <f>IF(X$2&lt;=$C$56,0,Sales!U9*X$3*(1+$C$55)^(X$2-$C$56-1))</f>
        <v>9148.0219251774852</v>
      </c>
      <c r="Y11" s="199">
        <f>IF(Y$2&lt;=$C$56,0,Sales!V9*Y$3*(1+$C$55)^(Y$2-$C$56-1))</f>
        <v>9674.3991067521965</v>
      </c>
      <c r="Z11" s="199">
        <f>IF(Z$2&lt;=$C$56,0,Sales!W9*Z$3*(1+$C$55)^(Z$2-$C$56-1))</f>
        <v>10231.064031354716</v>
      </c>
    </row>
    <row r="12" spans="1:26">
      <c r="A12" s="52"/>
      <c r="B12" s="200"/>
      <c r="C12" s="200"/>
      <c r="D12" s="200"/>
      <c r="E12" s="200"/>
      <c r="F12" s="200"/>
      <c r="G12" s="201"/>
      <c r="H12" s="202"/>
      <c r="I12" s="494"/>
      <c r="J12" s="494"/>
      <c r="K12" s="494"/>
      <c r="L12" s="494"/>
      <c r="M12" s="494"/>
      <c r="N12" s="494"/>
      <c r="O12" s="494"/>
      <c r="P12" s="494"/>
      <c r="Q12" s="494"/>
      <c r="R12" s="494"/>
      <c r="S12" s="494"/>
      <c r="T12" s="494"/>
      <c r="U12" s="494"/>
      <c r="V12" s="494"/>
      <c r="W12" s="494"/>
      <c r="X12" s="494"/>
      <c r="Y12" s="494"/>
      <c r="Z12" s="494"/>
    </row>
    <row r="13" spans="1:26">
      <c r="A13" s="52"/>
      <c r="B13" s="17"/>
      <c r="C13" s="17"/>
      <c r="D13" s="17"/>
      <c r="E13" s="17"/>
      <c r="F13" s="17"/>
      <c r="G13" s="201"/>
      <c r="H13" s="199"/>
      <c r="I13" s="199"/>
      <c r="J13" s="199"/>
      <c r="K13" s="199"/>
      <c r="L13" s="199"/>
      <c r="M13" s="199"/>
      <c r="N13" s="199"/>
      <c r="O13" s="199"/>
      <c r="P13" s="199"/>
      <c r="Q13" s="199"/>
    </row>
    <row r="14" spans="1:26">
      <c r="A14" s="194">
        <v>3</v>
      </c>
      <c r="B14" s="195" t="s">
        <v>107</v>
      </c>
      <c r="C14" s="195"/>
      <c r="D14" s="195"/>
      <c r="E14" s="195"/>
      <c r="F14" s="195"/>
      <c r="G14" s="207"/>
      <c r="H14" s="183"/>
      <c r="I14" s="183"/>
      <c r="J14" s="183"/>
      <c r="K14" s="183"/>
      <c r="L14" s="183"/>
      <c r="M14" s="183"/>
      <c r="N14" s="183"/>
      <c r="O14" s="183"/>
      <c r="P14" s="183"/>
      <c r="Q14" s="183"/>
      <c r="R14" s="186"/>
      <c r="S14" s="186"/>
      <c r="T14" s="186"/>
      <c r="U14" s="186"/>
      <c r="V14" s="186"/>
      <c r="W14" s="186"/>
      <c r="X14" s="186"/>
      <c r="Y14" s="186"/>
      <c r="Z14" s="186"/>
    </row>
    <row r="15" spans="1:26">
      <c r="A15" s="52"/>
      <c r="B15" s="17" t="s">
        <v>28</v>
      </c>
      <c r="C15" s="17"/>
      <c r="D15" s="17"/>
      <c r="E15" s="17"/>
      <c r="F15" s="17"/>
      <c r="G15" s="208">
        <f t="shared" ref="G15:G20" si="1">J15/$J$21</f>
        <v>0.72231435930224741</v>
      </c>
      <c r="H15" s="199">
        <f>IF(H$2&lt;=$C$56,0,'Opex PVC'!E24*H$3*(1+$C$55)^(H$2-$C$56-1))</f>
        <v>996.68452347064795</v>
      </c>
      <c r="I15" s="199">
        <f>IF(I$2&lt;=$C$56,0,'Opex PVC'!F24*I$3*(1+$C$55)^(I$2-$C$56-1))</f>
        <v>1355.9897213323266</v>
      </c>
      <c r="J15" s="199">
        <f>IF(J$2&lt;=$C$56,0,'Opex PVC'!G24*J$3*(1+$C$55)^(J$2-$C$56-1))</f>
        <v>1593.9779706681172</v>
      </c>
      <c r="K15" s="199">
        <f>IF(K$2&lt;=$C$56,0,'Opex PVC'!H24*K$3*(1+$C$55)^(K$2-$C$56-1))</f>
        <v>1686.8614579859045</v>
      </c>
      <c r="L15" s="199">
        <f>IF(L$2&lt;=$C$56,0,'Opex PVC'!I24*L$3*(1+$C$55)^(L$2-$C$56-1))</f>
        <v>1785.8625135243678</v>
      </c>
      <c r="M15" s="199">
        <f>IF(M$2&lt;=$C$56,0,'Opex PVC'!J24*M$3*(1+$C$55)^(M$2-$C$56-1))</f>
        <v>1893.0999857364791</v>
      </c>
      <c r="N15" s="199">
        <f>IF(N$2&lt;=$C$56,0,'Opex PVC'!K24*N$3*(1+$C$55)^(N$2-$C$56-1))</f>
        <v>2000.0506694306609</v>
      </c>
      <c r="O15" s="199">
        <f>IF(O$2&lt;=$C$56,0,'Opex PVC'!L24*O$3*(1+$C$55)^(O$2-$C$56-1))</f>
        <v>2114.088558474924</v>
      </c>
      <c r="P15" s="199">
        <f>IF(P$2&lt;=$C$56,0,'Opex PVC'!M24*P$3*(1+$C$55)^(P$2-$C$56-1))</f>
        <v>2234.628602857767</v>
      </c>
      <c r="Q15" s="199">
        <f>IF(Q$2&lt;=$C$56,0,'Opex PVC'!N24*Q$3*(1+$C$55)^(Q$2-$C$56-1))</f>
        <v>2361.8080205322112</v>
      </c>
      <c r="R15" s="199">
        <f>IF(R$2&lt;=$C$56,0,'Opex PVC'!O24*R$3*(1+$C$55)^(R$2-$C$56-1))</f>
        <v>2500.6681612913812</v>
      </c>
      <c r="S15" s="199">
        <f>IF(S$2&lt;=$C$56,0,'Opex PVC'!P24*S$3*(1+$C$55)^(S$2-$C$56-1))</f>
        <v>2648.999044280622</v>
      </c>
      <c r="T15" s="199">
        <f>IF(T$2&lt;=$C$56,0,'Opex PVC'!Q24*T$3*(1+$C$55)^(T$2-$C$56-1))</f>
        <v>2807.235677691202</v>
      </c>
      <c r="U15" s="199">
        <f>IF(U$2&lt;=$C$56,0,'Opex PVC'!R24*U$3*(1+$C$55)^(U$2-$C$56-1))</f>
        <v>2975.217853408566</v>
      </c>
      <c r="V15" s="199">
        <f>IF(V$2&lt;=$C$56,0,'Opex PVC'!S24*V$3*(1+$C$55)^(V$2-$C$56-1))</f>
        <v>3144.857337365288</v>
      </c>
      <c r="W15" s="199">
        <f>IF(W$2&lt;=$C$56,0,'Opex PVC'!T24*W$3*(1+$C$55)^(W$2-$C$56-1))</f>
        <v>3323.840603006759</v>
      </c>
      <c r="X15" s="199">
        <f>IF(X$2&lt;=$C$56,0,'Opex PVC'!U24*X$3*(1+$C$55)^(X$2-$C$56-1))</f>
        <v>3513.3576845886955</v>
      </c>
      <c r="Y15" s="199">
        <f>IF(Y$2&lt;=$C$56,0,'Opex PVC'!V24*Y$3*(1+$C$55)^(Y$2-$C$56-1))</f>
        <v>3716.2505775160084</v>
      </c>
      <c r="Z15" s="199">
        <f>IF(Z$2&lt;=$C$56,0,'Opex PVC'!W24*Z$3*(1+$C$55)^(Z$2-$C$56-1))</f>
        <v>3934.3554657851337</v>
      </c>
    </row>
    <row r="16" spans="1:26">
      <c r="A16" s="52"/>
      <c r="B16" s="17" t="s">
        <v>199</v>
      </c>
      <c r="C16" s="17"/>
      <c r="D16" s="17"/>
      <c r="E16" s="17"/>
      <c r="F16" s="17"/>
      <c r="G16" s="208">
        <f t="shared" si="1"/>
        <v>5.6563173023324476E-2</v>
      </c>
      <c r="H16" s="199">
        <f>IF(H$2&lt;=$C$56,0,'Opex PVC'!E29*H$3*(1+$C$55)^(H$2-$C$56-1))</f>
        <v>77.987007000000006</v>
      </c>
      <c r="I16" s="199">
        <f>IF(I$2&lt;=$C$56,0,'Opex PVC'!F29*I$3*(1+$C$55)^(I$2-$C$56-1))</f>
        <v>106.18518133802701</v>
      </c>
      <c r="J16" s="199">
        <f>IF(J$2&lt;=$C$56,0,'Opex PVC'!G29*J$3*(1+$C$55)^(J$2-$C$56-1))</f>
        <v>124.82162453112929</v>
      </c>
      <c r="K16" s="199">
        <f>IF(K$2&lt;=$C$56,0,'Opex PVC'!H29*K$3*(1+$C$55)^(K$2-$C$56-1))</f>
        <v>132.095167824995</v>
      </c>
      <c r="L16" s="199">
        <f>IF(L$2&lt;=$C$56,0,'Opex PVC'!I29*L$3*(1+$C$55)^(L$2-$C$56-1))</f>
        <v>139.7097277266829</v>
      </c>
      <c r="M16" s="199">
        <f>IF(M$2&lt;=$C$56,0,'Opex PVC'!J29*M$3*(1+$C$55)^(M$2-$C$56-1))</f>
        <v>147.66102746079159</v>
      </c>
      <c r="N16" s="199">
        <f>IF(N$2&lt;=$C$56,0,'Opex PVC'!K29*N$3*(1+$C$55)^(N$2-$C$56-1))</f>
        <v>155.92598432034072</v>
      </c>
      <c r="O16" s="199">
        <f>IF(O$2&lt;=$C$56,0,'Opex PVC'!L29*O$3*(1+$C$55)^(O$2-$C$56-1))</f>
        <v>164.65355147771101</v>
      </c>
      <c r="P16" s="199">
        <f>IF(P$2&lt;=$C$56,0,'Opex PVC'!M29*P$3*(1+$C$55)^(P$2-$C$56-1))</f>
        <v>173.86962238779714</v>
      </c>
      <c r="Q16" s="199">
        <f>IF(Q$2&lt;=$C$56,0,'Opex PVC'!N29*Q$3*(1+$C$55)^(Q$2-$C$56-1))</f>
        <v>183.60153982689809</v>
      </c>
      <c r="R16" s="199">
        <f>IF(R$2&lt;=$C$56,0,'Opex PVC'!O29*R$3*(1+$C$55)^(R$2-$C$56-1))</f>
        <v>193.87817701485909</v>
      </c>
      <c r="S16" s="199">
        <f>IF(S$2&lt;=$C$56,0,'Opex PVC'!P29*S$3*(1+$C$55)^(S$2-$C$56-1))</f>
        <v>204.73002327782331</v>
      </c>
      <c r="T16" s="199">
        <f>IF(T$2&lt;=$C$56,0,'Opex PVC'!Q29*T$3*(1+$C$55)^(T$2-$C$56-1))</f>
        <v>216.18927450574122</v>
      </c>
      <c r="U16" s="199">
        <f>IF(U$2&lt;=$C$56,0,'Opex PVC'!R29*U$3*(1+$C$55)^(U$2-$C$56-1))</f>
        <v>228.28992867301383</v>
      </c>
      <c r="V16" s="199">
        <f>IF(V$2&lt;=$C$56,0,'Opex PVC'!S29*V$3*(1+$C$55)^(V$2-$C$56-1))</f>
        <v>241.06788670566405</v>
      </c>
      <c r="W16" s="199">
        <f>IF(W$2&lt;=$C$56,0,'Opex PVC'!T29*W$3*(1+$C$55)^(W$2-$C$56-1))</f>
        <v>254.56105899429684</v>
      </c>
      <c r="X16" s="199">
        <f>IF(X$2&lt;=$C$56,0,'Opex PVC'!U29*X$3*(1+$C$55)^(X$2-$C$56-1))</f>
        <v>268.80947786885503</v>
      </c>
      <c r="Y16" s="199">
        <f>IF(Y$2&lt;=$C$56,0,'Opex PVC'!V29*Y$3*(1+$C$55)^(Y$2-$C$56-1))</f>
        <v>283.85541636886956</v>
      </c>
      <c r="Z16" s="199">
        <f>IF(Z$2&lt;=$C$56,0,'Opex PVC'!W29*Z$3*(1+$C$55)^(Z$2-$C$56-1))</f>
        <v>299.743513661576</v>
      </c>
    </row>
    <row r="17" spans="1:26">
      <c r="A17" s="52"/>
      <c r="B17" s="17" t="s">
        <v>29</v>
      </c>
      <c r="C17" s="17"/>
      <c r="D17" s="17"/>
      <c r="E17" s="17"/>
      <c r="F17" s="17"/>
      <c r="G17" s="208">
        <f t="shared" si="1"/>
        <v>1.518210077041106E-2</v>
      </c>
      <c r="H17" s="199">
        <f>IF(H$2&lt;=$C$56,0,'Opex PVC'!$E$30*(1+$C$55)^(H$2-$C$56-1))</f>
        <v>30.68</v>
      </c>
      <c r="I17" s="199">
        <f>IF(I$2&lt;=$C$56,0,'Opex PVC'!$E$30*(1+$C$55)^(I$2-$C$56-1))</f>
        <v>32.060600000000001</v>
      </c>
      <c r="J17" s="199">
        <f>IF(J$2&lt;=$C$56,0,'Opex PVC'!$E$30*(1+$C$55)^(J$2-$C$56-1))</f>
        <v>33.503326999999992</v>
      </c>
      <c r="K17" s="199">
        <f>IF(K$2&lt;=$C$56,0,'Opex PVC'!$E$30*(1+$C$55)^(K$2-$C$56-1))</f>
        <v>35.010976714999991</v>
      </c>
      <c r="L17" s="199">
        <f>IF(L$2&lt;=$C$56,0,'Opex PVC'!$E$30*(1+$C$55)^(L$2-$C$56-1))</f>
        <v>36.586470667174986</v>
      </c>
      <c r="M17" s="199">
        <f>IF(M$2&lt;=$C$56,0,'Opex PVC'!$E$30*(1+$C$55)^(M$2-$C$56-1))</f>
        <v>38.23286184719786</v>
      </c>
      <c r="N17" s="199">
        <f>IF(N$2&lt;=$C$56,0,'Opex PVC'!$E$30*(1+$C$55)^(N$2-$C$56-1))</f>
        <v>39.953340630321755</v>
      </c>
      <c r="O17" s="199">
        <f>IF(O$2&lt;=$C$56,0,'Opex PVC'!$E$30*(1+$C$55)^(O$2-$C$56-1))</f>
        <v>41.751240958686232</v>
      </c>
      <c r="P17" s="199">
        <f>IF(P$2&lt;=$C$56,0,'Opex PVC'!$E$30*(1+$C$55)^(P$2-$C$56-1))</f>
        <v>43.630046801827099</v>
      </c>
      <c r="Q17" s="199">
        <f>IF(Q$2&lt;=$C$56,0,'Opex PVC'!$E$30*(1+$C$55)^(Q$2-$C$56-1))</f>
        <v>45.593398907909318</v>
      </c>
      <c r="R17" s="199">
        <f>IF(R$2&lt;=$C$56,0,'Opex PVC'!$E$30*(1+$C$55)^(R$2-$C$56-1))</f>
        <v>47.64510185876523</v>
      </c>
      <c r="S17" s="199">
        <f>IF(S$2&lt;=$C$56,0,'Opex PVC'!$E$30*(1+$C$55)^(S$2-$C$56-1))</f>
        <v>49.789131442409662</v>
      </c>
      <c r="T17" s="199">
        <f>IF(T$2&lt;=$C$56,0,'Opex PVC'!$E$30*(1+$C$55)^(T$2-$C$56-1))</f>
        <v>52.029642357318089</v>
      </c>
      <c r="U17" s="199">
        <f>IF(U$2&lt;=$C$56,0,'Opex PVC'!$E$30*(1+$C$55)^(U$2-$C$56-1))</f>
        <v>54.370976263397402</v>
      </c>
      <c r="V17" s="199">
        <f>IF(V$2&lt;=$C$56,0,'Opex PVC'!$E$30*(1+$C$55)^(V$2-$C$56-1))</f>
        <v>56.817670195250273</v>
      </c>
      <c r="W17" s="199">
        <f>IF(W$2&lt;=$C$56,0,'Opex PVC'!$E$30*(1+$C$55)^(W$2-$C$56-1))</f>
        <v>59.374465354036538</v>
      </c>
      <c r="X17" s="199">
        <f>IF(X$2&lt;=$C$56,0,'Opex PVC'!$E$30*(1+$C$55)^(X$2-$C$56-1))</f>
        <v>62.046316294968157</v>
      </c>
      <c r="Y17" s="199">
        <f>IF(Y$2&lt;=$C$56,0,'Opex PVC'!$E$30*(1+$C$55)^(Y$2-$C$56-1))</f>
        <v>64.838400528241735</v>
      </c>
      <c r="Z17" s="199">
        <f>IF(Z$2&lt;=$C$56,0,'Opex PVC'!$E$30*(1+$C$55)^(Z$2-$C$56-1))</f>
        <v>67.756128552012598</v>
      </c>
    </row>
    <row r="18" spans="1:26">
      <c r="A18" s="52"/>
      <c r="B18" s="17" t="s">
        <v>17</v>
      </c>
      <c r="C18" s="17"/>
      <c r="D18" s="17"/>
      <c r="E18" s="17"/>
      <c r="F18" s="17"/>
      <c r="G18" s="208">
        <f t="shared" si="1"/>
        <v>9.7263425893881816E-2</v>
      </c>
      <c r="H18" s="199">
        <f>IF(H$2&lt;=$C$56,0,'Opex PVC'!$E$32*(1+$C$55)^(H$2-$C$56-1))</f>
        <v>196.55</v>
      </c>
      <c r="I18" s="199">
        <f>IF(I$2&lt;=$C$56,0,'Opex PVC'!$E$32*(1+$C$55)^(I$2-$C$56-1))</f>
        <v>205.39474999999999</v>
      </c>
      <c r="J18" s="199">
        <f>IF(J$2&lt;=$C$56,0,'Opex PVC'!$E$32*(1+$C$55)^(J$2-$C$56-1))</f>
        <v>214.63751374999998</v>
      </c>
      <c r="K18" s="199">
        <f>IF(K$2&lt;=$C$56,0,'Opex PVC'!$E$32*(1+$C$55)^(K$2-$C$56-1))</f>
        <v>224.29620186874999</v>
      </c>
      <c r="L18" s="199">
        <f>IF(L$2&lt;=$C$56,0,'Opex PVC'!$E$32*(1+$C$55)^(L$2-$C$56-1))</f>
        <v>234.38953095284367</v>
      </c>
      <c r="M18" s="199">
        <f>IF(M$2&lt;=$C$56,0,'Opex PVC'!$E$32*(1+$C$55)^(M$2-$C$56-1))</f>
        <v>244.93705984572162</v>
      </c>
      <c r="N18" s="199">
        <f>IF(N$2&lt;=$C$56,0,'Opex PVC'!$E$32*(1+$C$55)^(N$2-$C$56-1))</f>
        <v>255.95922753877903</v>
      </c>
      <c r="O18" s="199">
        <f>IF(O$2&lt;=$C$56,0,'Opex PVC'!$E$32*(1+$C$55)^(O$2-$C$56-1))</f>
        <v>267.47739277802413</v>
      </c>
      <c r="P18" s="199">
        <f>IF(P$2&lt;=$C$56,0,'Opex PVC'!$E$32*(1+$C$55)^(P$2-$C$56-1))</f>
        <v>279.5138754530351</v>
      </c>
      <c r="Q18" s="199">
        <f>IF(Q$2&lt;=$C$56,0,'Opex PVC'!$E$32*(1+$C$55)^(Q$2-$C$56-1))</f>
        <v>292.09199984842166</v>
      </c>
      <c r="R18" s="199">
        <f>IF(R$2&lt;=$C$56,0,'Opex PVC'!$E$32*(1+$C$55)^(R$2-$C$56-1))</f>
        <v>305.23613984160062</v>
      </c>
      <c r="S18" s="199">
        <f>IF(S$2&lt;=$C$56,0,'Opex PVC'!$E$32*(1+$C$55)^(S$2-$C$56-1))</f>
        <v>318.9717661344726</v>
      </c>
      <c r="T18" s="199">
        <f>IF(T$2&lt;=$C$56,0,'Opex PVC'!$E$32*(1+$C$55)^(T$2-$C$56-1))</f>
        <v>333.32549561052383</v>
      </c>
      <c r="U18" s="199">
        <f>IF(U$2&lt;=$C$56,0,'Opex PVC'!$E$32*(1+$C$55)^(U$2-$C$56-1))</f>
        <v>348.32514291299742</v>
      </c>
      <c r="V18" s="199">
        <f>IF(V$2&lt;=$C$56,0,'Opex PVC'!$E$32*(1+$C$55)^(V$2-$C$56-1))</f>
        <v>363.9997743440822</v>
      </c>
      <c r="W18" s="199">
        <f>IF(W$2&lt;=$C$56,0,'Opex PVC'!$E$32*(1+$C$55)^(W$2-$C$56-1))</f>
        <v>380.37976418956595</v>
      </c>
      <c r="X18" s="199">
        <f>IF(X$2&lt;=$C$56,0,'Opex PVC'!$E$32*(1+$C$55)^(X$2-$C$56-1))</f>
        <v>397.49685357809625</v>
      </c>
      <c r="Y18" s="199">
        <f>IF(Y$2&lt;=$C$56,0,'Opex PVC'!$E$32*(1+$C$55)^(Y$2-$C$56-1))</f>
        <v>415.38421198911055</v>
      </c>
      <c r="Z18" s="199">
        <f>IF(Z$2&lt;=$C$56,0,'Opex PVC'!$E$32*(1+$C$55)^(Z$2-$C$56-1))</f>
        <v>434.07650152862044</v>
      </c>
    </row>
    <row r="19" spans="1:26" s="167" customFormat="1">
      <c r="A19" s="52"/>
      <c r="B19" s="17" t="s">
        <v>20</v>
      </c>
      <c r="C19" s="17"/>
      <c r="D19" s="17"/>
      <c r="E19" s="17"/>
      <c r="F19" s="17"/>
      <c r="G19" s="208">
        <f t="shared" si="1"/>
        <v>4.944222543669826E-2</v>
      </c>
      <c r="H19" s="199">
        <f>IF(H$2&lt;=$C$56,0,'Opex PVC'!$E$35*(1+$C$55)^(H$2-$C$56-1))</f>
        <v>99.912884213903979</v>
      </c>
      <c r="I19" s="199">
        <f>IF(I$2&lt;=$C$56,0,'Opex PVC'!$E$35*(1+$C$55)^(I$2-$C$56-1))</f>
        <v>104.40896400352965</v>
      </c>
      <c r="J19" s="199">
        <f>IF(J$2&lt;=$C$56,0,'Opex PVC'!$E$35*(1+$C$55)^(J$2-$C$56-1))</f>
        <v>109.10736738368847</v>
      </c>
      <c r="K19" s="199">
        <f>IF(K$2&lt;=$C$56,0,'Opex PVC'!$E$35*(1+$C$55)^(K$2-$C$56-1))</f>
        <v>114.01719891595445</v>
      </c>
      <c r="L19" s="199">
        <f>IF(L$2&lt;=$C$56,0,'Opex PVC'!$E$35*(1+$C$55)^(L$2-$C$56-1))</f>
        <v>119.14797286717237</v>
      </c>
      <c r="M19" s="199">
        <f>IF(M$2&lt;=$C$56,0,'Opex PVC'!$E$35*(1+$C$55)^(M$2-$C$56-1))</f>
        <v>124.50963164619513</v>
      </c>
      <c r="N19" s="199">
        <f>IF(N$2&lt;=$C$56,0,'Opex PVC'!$E$35*(1+$C$55)^(N$2-$C$56-1))</f>
        <v>130.11256507027389</v>
      </c>
      <c r="O19" s="199">
        <f>IF(O$2&lt;=$C$56,0,'Opex PVC'!$E$35*(1+$C$55)^(O$2-$C$56-1))</f>
        <v>135.96763049843622</v>
      </c>
      <c r="P19" s="199">
        <f>IF(P$2&lt;=$C$56,0,'Opex PVC'!$E$35*(1+$C$55)^(P$2-$C$56-1))</f>
        <v>142.08617387086579</v>
      </c>
      <c r="Q19" s="199">
        <f>IF(Q$2&lt;=$C$56,0,'Opex PVC'!$E$35*(1+$C$55)^(Q$2-$C$56-1))</f>
        <v>148.48005169505475</v>
      </c>
      <c r="R19" s="199">
        <f>IF(R$2&lt;=$C$56,0,'Opex PVC'!$E$35*(1+$C$55)^(R$2-$C$56-1))</f>
        <v>155.1616540213322</v>
      </c>
      <c r="S19" s="199">
        <f>IF(S$2&lt;=$C$56,0,'Opex PVC'!$E$35*(1+$C$55)^(S$2-$C$56-1))</f>
        <v>162.14392845229213</v>
      </c>
      <c r="T19" s="199">
        <f>IF(T$2&lt;=$C$56,0,'Opex PVC'!$E$35*(1+$C$55)^(T$2-$C$56-1))</f>
        <v>169.44040523264525</v>
      </c>
      <c r="U19" s="199">
        <f>IF(U$2&lt;=$C$56,0,'Opex PVC'!$E$35*(1+$C$55)^(U$2-$C$56-1))</f>
        <v>177.06522346811428</v>
      </c>
      <c r="V19" s="199">
        <f>IF(V$2&lt;=$C$56,0,'Opex PVC'!$E$35*(1+$C$55)^(V$2-$C$56-1))</f>
        <v>185.03315852417938</v>
      </c>
      <c r="W19" s="199">
        <f>IF(W$2&lt;=$C$56,0,'Opex PVC'!$E$35*(1+$C$55)^(W$2-$C$56-1))</f>
        <v>193.35965065776747</v>
      </c>
      <c r="X19" s="199">
        <f>IF(X$2&lt;=$C$56,0,'Opex PVC'!$E$35*(1+$C$55)^(X$2-$C$56-1))</f>
        <v>202.06083493736693</v>
      </c>
      <c r="Y19" s="199">
        <f>IF(Y$2&lt;=$C$56,0,'Opex PVC'!$E$35*(1+$C$55)^(Y$2-$C$56-1))</f>
        <v>211.15357250954844</v>
      </c>
      <c r="Z19" s="199">
        <f>IF(Z$2&lt;=$C$56,0,'Opex PVC'!$E$35*(1+$C$55)^(Z$2-$C$56-1))</f>
        <v>220.65548327247808</v>
      </c>
    </row>
    <row r="20" spans="1:26">
      <c r="A20" s="52"/>
      <c r="B20" s="17" t="s">
        <v>21</v>
      </c>
      <c r="C20" s="17"/>
      <c r="D20" s="17"/>
      <c r="E20" s="17"/>
      <c r="F20" s="17"/>
      <c r="G20" s="208">
        <f t="shared" si="1"/>
        <v>5.9234715573436958E-2</v>
      </c>
      <c r="H20" s="199">
        <f>IF(H$2&lt;=$C$56,0,'Opex PVC'!$E$38*(1+$C$55)^(H$2-$C$56-1))</f>
        <v>119.70155522448435</v>
      </c>
      <c r="I20" s="199">
        <f>IF(I$2&lt;=$C$56,0,'Opex PVC'!$E$38*(1+$C$55)^(I$2-$C$56-1))</f>
        <v>125.08812520958614</v>
      </c>
      <c r="J20" s="199">
        <f>IF(J$2&lt;=$C$56,0,'Opex PVC'!$E$38*(1+$C$55)^(J$2-$C$56-1))</f>
        <v>130.71709084401749</v>
      </c>
      <c r="K20" s="199">
        <f>IF(K$2&lt;=$C$56,0,'Opex PVC'!$E$38*(1+$C$55)^(K$2-$C$56-1))</f>
        <v>136.59935993199829</v>
      </c>
      <c r="L20" s="199">
        <f>IF(L$2&lt;=$C$56,0,'Opex PVC'!$E$38*(1+$C$55)^(L$2-$C$56-1))</f>
        <v>142.74633112893818</v>
      </c>
      <c r="M20" s="199">
        <f>IF(M$2&lt;=$C$56,0,'Opex PVC'!$E$38*(1+$C$55)^(M$2-$C$56-1))</f>
        <v>149.16991602974039</v>
      </c>
      <c r="N20" s="199">
        <f>IF(N$2&lt;=$C$56,0,'Opex PVC'!$E$38*(1+$C$55)^(N$2-$C$56-1))</f>
        <v>155.88256225107867</v>
      </c>
      <c r="O20" s="199">
        <f>IF(O$2&lt;=$C$56,0,'Opex PVC'!$E$38*(1+$C$55)^(O$2-$C$56-1))</f>
        <v>162.89727755237723</v>
      </c>
      <c r="P20" s="199">
        <f>IF(P$2&lt;=$C$56,0,'Opex PVC'!$E$38*(1+$C$55)^(P$2-$C$56-1))</f>
        <v>170.22765504223415</v>
      </c>
      <c r="Q20" s="199">
        <f>IF(Q$2&lt;=$C$56,0,'Opex PVC'!$E$38*(1+$C$55)^(Q$2-$C$56-1))</f>
        <v>177.88789951913466</v>
      </c>
      <c r="R20" s="199">
        <f>IF(R$2&lt;=$C$56,0,'Opex PVC'!$E$38*(1+$C$55)^(R$2-$C$56-1))</f>
        <v>185.8928549974957</v>
      </c>
      <c r="S20" s="199">
        <f>IF(S$2&lt;=$C$56,0,'Opex PVC'!$E$38*(1+$C$55)^(S$2-$C$56-1))</f>
        <v>194.258033472383</v>
      </c>
      <c r="T20" s="199">
        <f>IF(T$2&lt;=$C$56,0,'Opex PVC'!$E$38*(1+$C$55)^(T$2-$C$56-1))</f>
        <v>202.99964497864019</v>
      </c>
      <c r="U20" s="199">
        <f>IF(U$2&lt;=$C$56,0,'Opex PVC'!$E$38*(1+$C$55)^(U$2-$C$56-1))</f>
        <v>212.13462900267902</v>
      </c>
      <c r="V20" s="199">
        <f>IF(V$2&lt;=$C$56,0,'Opex PVC'!$E$38*(1+$C$55)^(V$2-$C$56-1))</f>
        <v>221.68068730779953</v>
      </c>
      <c r="W20" s="199">
        <f>IF(W$2&lt;=$C$56,0,'Opex PVC'!$E$38*(1+$C$55)^(W$2-$C$56-1))</f>
        <v>231.65631823665052</v>
      </c>
      <c r="X20" s="199">
        <f>IF(X$2&lt;=$C$56,0,'Opex PVC'!$E$38*(1+$C$55)^(X$2-$C$56-1))</f>
        <v>242.08085255729969</v>
      </c>
      <c r="Y20" s="199">
        <f>IF(Y$2&lt;=$C$56,0,'Opex PVC'!$E$38*(1+$C$55)^(Y$2-$C$56-1))</f>
        <v>252.97449092237818</v>
      </c>
      <c r="Z20" s="199">
        <f>IF(Z$2&lt;=$C$56,0,'Opex PVC'!$E$38*(1+$C$55)^(Z$2-$C$56-1))</f>
        <v>264.35834301388513</v>
      </c>
    </row>
    <row r="21" spans="1:26" s="167" customFormat="1">
      <c r="A21" s="187"/>
      <c r="B21" s="209" t="s">
        <v>30</v>
      </c>
      <c r="C21" s="209"/>
      <c r="D21" s="209"/>
      <c r="E21" s="209"/>
      <c r="F21" s="209"/>
      <c r="G21" s="210"/>
      <c r="H21" s="192">
        <f t="shared" ref="H21:Q21" si="2">SUM(H15:H20)</f>
        <v>1521.5159699090361</v>
      </c>
      <c r="I21" s="192">
        <f t="shared" si="2"/>
        <v>1929.1273418834694</v>
      </c>
      <c r="J21" s="192">
        <f t="shared" si="2"/>
        <v>2206.7648941769526</v>
      </c>
      <c r="K21" s="192">
        <f t="shared" si="2"/>
        <v>2328.880363242602</v>
      </c>
      <c r="L21" s="192">
        <f t="shared" si="2"/>
        <v>2458.4425468671802</v>
      </c>
      <c r="M21" s="192">
        <f t="shared" si="2"/>
        <v>2597.6104825661255</v>
      </c>
      <c r="N21" s="192">
        <f t="shared" si="2"/>
        <v>2737.8843492414549</v>
      </c>
      <c r="O21" s="192">
        <f t="shared" si="2"/>
        <v>2886.8356517401589</v>
      </c>
      <c r="P21" s="192">
        <f t="shared" si="2"/>
        <v>3043.9559764135265</v>
      </c>
      <c r="Q21" s="192">
        <f t="shared" si="2"/>
        <v>3209.4629103296302</v>
      </c>
      <c r="R21" s="192">
        <f t="shared" ref="R21:Z21" si="3">SUM(R15:R20)</f>
        <v>3388.4820890254341</v>
      </c>
      <c r="S21" s="192">
        <f t="shared" si="3"/>
        <v>3578.8919270600027</v>
      </c>
      <c r="T21" s="192">
        <f t="shared" si="3"/>
        <v>3781.220140376071</v>
      </c>
      <c r="U21" s="192">
        <f t="shared" si="3"/>
        <v>3995.4037537287682</v>
      </c>
      <c r="V21" s="192">
        <f t="shared" si="3"/>
        <v>4213.4565144422631</v>
      </c>
      <c r="W21" s="192">
        <f t="shared" si="3"/>
        <v>4443.1718604390762</v>
      </c>
      <c r="X21" s="192">
        <f t="shared" si="3"/>
        <v>4685.8520198252809</v>
      </c>
      <c r="Y21" s="192">
        <f t="shared" si="3"/>
        <v>4944.4566698341569</v>
      </c>
      <c r="Z21" s="192">
        <f t="shared" si="3"/>
        <v>5220.9454358137054</v>
      </c>
    </row>
    <row r="22" spans="1:26">
      <c r="A22" s="52"/>
      <c r="B22" s="17"/>
      <c r="C22" s="17"/>
      <c r="D22" s="17"/>
      <c r="E22" s="17"/>
      <c r="F22" s="17"/>
      <c r="G22" s="201"/>
      <c r="H22" s="199"/>
      <c r="I22" s="199"/>
      <c r="J22" s="199"/>
      <c r="K22" s="199"/>
      <c r="L22" s="199"/>
      <c r="M22" s="199"/>
      <c r="N22" s="199"/>
      <c r="O22" s="199"/>
      <c r="P22" s="199"/>
      <c r="Q22" s="199"/>
    </row>
    <row r="23" spans="1:26">
      <c r="A23" s="203">
        <v>4</v>
      </c>
      <c r="B23" s="204" t="s">
        <v>396</v>
      </c>
      <c r="C23" s="204"/>
      <c r="D23" s="204"/>
      <c r="E23" s="204"/>
      <c r="F23" s="204"/>
      <c r="G23" s="205"/>
      <c r="H23" s="206">
        <f t="shared" ref="H23:Z23" si="4">H10-H21</f>
        <v>1094.7168509242968</v>
      </c>
      <c r="I23" s="206">
        <f t="shared" si="4"/>
        <v>1628.1494747017796</v>
      </c>
      <c r="J23" s="206">
        <f t="shared" si="4"/>
        <v>1973.1934665025624</v>
      </c>
      <c r="K23" s="206">
        <f t="shared" si="4"/>
        <v>2091.5928015104132</v>
      </c>
      <c r="L23" s="206">
        <f t="shared" si="4"/>
        <v>2216.3846437857214</v>
      </c>
      <c r="M23" s="206">
        <f t="shared" si="4"/>
        <v>2346.2062646369445</v>
      </c>
      <c r="N23" s="206">
        <f t="shared" si="4"/>
        <v>2490.3996135956791</v>
      </c>
      <c r="O23" s="206">
        <f t="shared" si="4"/>
        <v>2642.2837703186233</v>
      </c>
      <c r="P23" s="206">
        <f t="shared" si="4"/>
        <v>2803.308977190517</v>
      </c>
      <c r="Q23" s="206">
        <f t="shared" si="4"/>
        <v>2974.2536687047887</v>
      </c>
      <c r="R23" s="206">
        <f t="shared" si="4"/>
        <v>3151.0455419666232</v>
      </c>
      <c r="S23" s="206">
        <f t="shared" si="4"/>
        <v>3336.9201238193391</v>
      </c>
      <c r="T23" s="206">
        <f t="shared" si="4"/>
        <v>3532.5277359108668</v>
      </c>
      <c r="U23" s="206">
        <f t="shared" si="4"/>
        <v>3739.17717535972</v>
      </c>
      <c r="V23" s="206">
        <f t="shared" si="4"/>
        <v>3966.1722013059743</v>
      </c>
      <c r="W23" s="206">
        <f t="shared" si="4"/>
        <v>4207.1126916133171</v>
      </c>
      <c r="X23" s="206">
        <f t="shared" si="4"/>
        <v>4462.1699053522043</v>
      </c>
      <c r="Y23" s="206">
        <f t="shared" si="4"/>
        <v>4729.9424369180397</v>
      </c>
      <c r="Z23" s="206">
        <f t="shared" si="4"/>
        <v>5010.1185955410101</v>
      </c>
    </row>
    <row r="24" spans="1:26">
      <c r="A24" s="52"/>
      <c r="B24" s="17" t="s">
        <v>392</v>
      </c>
      <c r="C24" s="17"/>
      <c r="D24" s="17"/>
      <c r="E24" s="17"/>
      <c r="F24" s="17"/>
      <c r="G24" s="201"/>
      <c r="H24" s="262">
        <f t="shared" ref="H24:Z24" si="5">H23/H11</f>
        <v>0.41843250425075057</v>
      </c>
      <c r="I24" s="262">
        <f t="shared" si="5"/>
        <v>0.45769546724921328</v>
      </c>
      <c r="J24" s="262">
        <f t="shared" si="5"/>
        <v>0.47206055568979166</v>
      </c>
      <c r="K24" s="262">
        <f t="shared" si="5"/>
        <v>0.47316038884431882</v>
      </c>
      <c r="L24" s="262">
        <f t="shared" si="5"/>
        <v>0.47411049722164678</v>
      </c>
      <c r="M24" s="262">
        <f t="shared" si="5"/>
        <v>0.47457387371089238</v>
      </c>
      <c r="N24" s="262">
        <f t="shared" si="5"/>
        <v>0.47633212566447158</v>
      </c>
      <c r="O24" s="262">
        <f t="shared" si="5"/>
        <v>0.47788509681615121</v>
      </c>
      <c r="P24" s="262">
        <f t="shared" si="5"/>
        <v>0.47942225971180907</v>
      </c>
      <c r="Q24" s="262">
        <f t="shared" si="5"/>
        <v>0.48098156354527094</v>
      </c>
      <c r="R24" s="262">
        <f t="shared" si="5"/>
        <v>0.48184604756973926</v>
      </c>
      <c r="S24" s="262">
        <f t="shared" si="5"/>
        <v>0.48250590086453427</v>
      </c>
      <c r="T24" s="262">
        <f t="shared" si="5"/>
        <v>0.48299829248479231</v>
      </c>
      <c r="U24" s="262">
        <f t="shared" si="5"/>
        <v>0.48343629857143117</v>
      </c>
      <c r="V24" s="262">
        <f t="shared" si="5"/>
        <v>0.48488413583735213</v>
      </c>
      <c r="W24" s="262">
        <f t="shared" si="5"/>
        <v>0.48635541019458423</v>
      </c>
      <c r="X24" s="262">
        <f t="shared" si="5"/>
        <v>0.48777429064432765</v>
      </c>
      <c r="Y24" s="262">
        <f t="shared" si="5"/>
        <v>0.48891330456036292</v>
      </c>
      <c r="Z24" s="262">
        <f t="shared" si="5"/>
        <v>0.48969672950796794</v>
      </c>
    </row>
    <row r="25" spans="1:26">
      <c r="A25" s="52"/>
      <c r="B25" s="17" t="s">
        <v>391</v>
      </c>
      <c r="C25" s="17"/>
      <c r="D25" s="17"/>
      <c r="E25" s="17"/>
      <c r="F25" s="17"/>
      <c r="G25" s="201"/>
      <c r="H25" s="264">
        <f t="shared" ref="H25:Z25" si="6">H23/(H3*500000)*10^7</f>
        <v>31277.624312122764</v>
      </c>
      <c r="I25" s="264">
        <f t="shared" si="6"/>
        <v>36181.099437817327</v>
      </c>
      <c r="J25" s="264">
        <f t="shared" si="6"/>
        <v>39463.869330051253</v>
      </c>
      <c r="K25" s="264">
        <f t="shared" si="6"/>
        <v>41831.85603020827</v>
      </c>
      <c r="L25" s="264">
        <f t="shared" si="6"/>
        <v>44327.692875714427</v>
      </c>
      <c r="M25" s="264">
        <f t="shared" si="6"/>
        <v>46924.125292738892</v>
      </c>
      <c r="N25" s="264">
        <f t="shared" si="6"/>
        <v>49807.992271913579</v>
      </c>
      <c r="O25" s="264">
        <f t="shared" si="6"/>
        <v>52845.675406372466</v>
      </c>
      <c r="P25" s="264">
        <f t="shared" si="6"/>
        <v>56066.179543810336</v>
      </c>
      <c r="Q25" s="264">
        <f t="shared" si="6"/>
        <v>59485.073374095773</v>
      </c>
      <c r="R25" s="264">
        <f t="shared" si="6"/>
        <v>63020.910839332464</v>
      </c>
      <c r="S25" s="264">
        <f t="shared" si="6"/>
        <v>66738.402476386778</v>
      </c>
      <c r="T25" s="264">
        <f t="shared" si="6"/>
        <v>70650.554718217332</v>
      </c>
      <c r="U25" s="264">
        <f t="shared" si="6"/>
        <v>74783.543507194394</v>
      </c>
      <c r="V25" s="264">
        <f t="shared" si="6"/>
        <v>79323.444026119483</v>
      </c>
      <c r="W25" s="264">
        <f t="shared" si="6"/>
        <v>84142.253832266331</v>
      </c>
      <c r="X25" s="264">
        <f t="shared" si="6"/>
        <v>89243.398107044079</v>
      </c>
      <c r="Y25" s="264">
        <f t="shared" si="6"/>
        <v>94598.848738360801</v>
      </c>
      <c r="Z25" s="264">
        <f t="shared" si="6"/>
        <v>100202.37191082019</v>
      </c>
    </row>
    <row r="26" spans="1:26">
      <c r="A26" s="194"/>
      <c r="B26" s="195" t="s">
        <v>32</v>
      </c>
      <c r="C26" s="182">
        <f>-C8</f>
        <v>-302.67</v>
      </c>
      <c r="D26" s="182">
        <f>-D8</f>
        <v>-1513.36</v>
      </c>
      <c r="E26" s="182">
        <f>-E8</f>
        <v>-2118.71</v>
      </c>
      <c r="F26" s="182">
        <f>-F8</f>
        <v>-2118.71</v>
      </c>
      <c r="G26" s="196"/>
      <c r="H26" s="197">
        <f>H23+SUM(C26:F26)</f>
        <v>-4958.7331490757033</v>
      </c>
      <c r="I26" s="197">
        <f t="shared" ref="I26:Z26" si="7">I23</f>
        <v>1628.1494747017796</v>
      </c>
      <c r="J26" s="197">
        <f t="shared" si="7"/>
        <v>1973.1934665025624</v>
      </c>
      <c r="K26" s="197">
        <f t="shared" si="7"/>
        <v>2091.5928015104132</v>
      </c>
      <c r="L26" s="197">
        <f t="shared" si="7"/>
        <v>2216.3846437857214</v>
      </c>
      <c r="M26" s="197">
        <f t="shared" si="7"/>
        <v>2346.2062646369445</v>
      </c>
      <c r="N26" s="197">
        <f t="shared" si="7"/>
        <v>2490.3996135956791</v>
      </c>
      <c r="O26" s="197">
        <f t="shared" si="7"/>
        <v>2642.2837703186233</v>
      </c>
      <c r="P26" s="197">
        <f t="shared" si="7"/>
        <v>2803.308977190517</v>
      </c>
      <c r="Q26" s="197">
        <f t="shared" si="7"/>
        <v>2974.2536687047887</v>
      </c>
      <c r="R26" s="197">
        <f t="shared" si="7"/>
        <v>3151.0455419666232</v>
      </c>
      <c r="S26" s="197">
        <f t="shared" si="7"/>
        <v>3336.9201238193391</v>
      </c>
      <c r="T26" s="197">
        <f t="shared" si="7"/>
        <v>3532.5277359108668</v>
      </c>
      <c r="U26" s="197">
        <f t="shared" si="7"/>
        <v>3739.17717535972</v>
      </c>
      <c r="V26" s="197">
        <f t="shared" si="7"/>
        <v>3966.1722013059743</v>
      </c>
      <c r="W26" s="197">
        <f t="shared" si="7"/>
        <v>4207.1126916133171</v>
      </c>
      <c r="X26" s="197">
        <f t="shared" si="7"/>
        <v>4462.1699053522043</v>
      </c>
      <c r="Y26" s="197">
        <f t="shared" si="7"/>
        <v>4729.9424369180397</v>
      </c>
      <c r="Z26" s="197">
        <f t="shared" si="7"/>
        <v>5010.1185955410101</v>
      </c>
    </row>
    <row r="27" spans="1:26">
      <c r="A27" s="52"/>
      <c r="B27" s="17"/>
      <c r="C27" s="17"/>
      <c r="D27" s="17"/>
      <c r="E27" s="17"/>
      <c r="F27" s="17"/>
      <c r="G27" s="201"/>
      <c r="H27" s="199"/>
      <c r="I27" s="199"/>
      <c r="J27" s="199"/>
      <c r="K27" s="199"/>
      <c r="L27" s="199"/>
      <c r="M27" s="199"/>
      <c r="N27" s="199"/>
      <c r="O27" s="199"/>
      <c r="P27" s="199"/>
      <c r="Q27" s="199"/>
      <c r="R27" s="199"/>
      <c r="S27" s="199"/>
      <c r="T27" s="199"/>
      <c r="U27" s="199"/>
      <c r="V27" s="199"/>
      <c r="W27" s="199"/>
      <c r="X27" s="199"/>
      <c r="Y27" s="199"/>
      <c r="Z27" s="199"/>
    </row>
    <row r="28" spans="1:26">
      <c r="A28" s="52"/>
      <c r="B28" s="17" t="s">
        <v>33</v>
      </c>
      <c r="C28" s="17"/>
      <c r="D28" s="17"/>
      <c r="E28" s="17"/>
      <c r="F28" s="17"/>
      <c r="G28" s="201">
        <v>1</v>
      </c>
      <c r="H28" s="199">
        <f>G28/(1+0.1)</f>
        <v>0.90909090909090906</v>
      </c>
      <c r="I28" s="199">
        <f>H28/(1+0.1)</f>
        <v>0.82644628099173545</v>
      </c>
      <c r="J28" s="199">
        <f t="shared" ref="J28:Z28" si="8">I28/(1+0.1)</f>
        <v>0.75131480090157765</v>
      </c>
      <c r="K28" s="199">
        <f t="shared" si="8"/>
        <v>0.68301345536507052</v>
      </c>
      <c r="L28" s="199">
        <f t="shared" si="8"/>
        <v>0.62092132305915493</v>
      </c>
      <c r="M28" s="199">
        <f t="shared" si="8"/>
        <v>0.56447393005377711</v>
      </c>
      <c r="N28" s="199">
        <f t="shared" si="8"/>
        <v>0.51315811823070645</v>
      </c>
      <c r="O28" s="199">
        <f t="shared" si="8"/>
        <v>0.46650738020973309</v>
      </c>
      <c r="P28" s="199">
        <f t="shared" si="8"/>
        <v>0.42409761837248461</v>
      </c>
      <c r="Q28" s="199">
        <f t="shared" si="8"/>
        <v>0.38554328942953142</v>
      </c>
      <c r="R28" s="199">
        <f t="shared" si="8"/>
        <v>0.35049389948139215</v>
      </c>
      <c r="S28" s="199">
        <f t="shared" si="8"/>
        <v>0.31863081771035645</v>
      </c>
      <c r="T28" s="199">
        <f t="shared" si="8"/>
        <v>0.28966437973668768</v>
      </c>
      <c r="U28" s="199">
        <f t="shared" si="8"/>
        <v>0.26333125430607968</v>
      </c>
      <c r="V28" s="199">
        <f t="shared" si="8"/>
        <v>0.23939204936916333</v>
      </c>
      <c r="W28" s="199">
        <f t="shared" si="8"/>
        <v>0.21762913579014848</v>
      </c>
      <c r="X28" s="199">
        <f t="shared" si="8"/>
        <v>0.19784466890013497</v>
      </c>
      <c r="Y28" s="199">
        <f t="shared" si="8"/>
        <v>0.17985878990921358</v>
      </c>
      <c r="Z28" s="199">
        <f t="shared" si="8"/>
        <v>0.16350799082655779</v>
      </c>
    </row>
    <row r="29" spans="1:26">
      <c r="A29" s="52"/>
      <c r="B29" s="17" t="s">
        <v>34</v>
      </c>
      <c r="C29" s="17"/>
      <c r="D29" s="17"/>
      <c r="E29" s="17"/>
      <c r="F29" s="17"/>
      <c r="G29" s="211"/>
      <c r="H29" s="202">
        <f>H26*H28</f>
        <v>-4507.939226432457</v>
      </c>
      <c r="I29" s="202">
        <f t="shared" ref="I29:Z29" si="9">I26*I28</f>
        <v>1345.5780782659333</v>
      </c>
      <c r="J29" s="202">
        <f t="shared" si="9"/>
        <v>1482.4894564256665</v>
      </c>
      <c r="K29" s="202">
        <f t="shared" si="9"/>
        <v>1428.5860265763354</v>
      </c>
      <c r="L29" s="202">
        <f t="shared" si="9"/>
        <v>1376.2004854274239</v>
      </c>
      <c r="M29" s="202">
        <f t="shared" si="9"/>
        <v>1324.3722709164083</v>
      </c>
      <c r="N29" s="202">
        <f t="shared" si="9"/>
        <v>1277.9687793552371</v>
      </c>
      <c r="O29" s="202">
        <f t="shared" si="9"/>
        <v>1232.6448794620371</v>
      </c>
      <c r="P29" s="202">
        <f t="shared" si="9"/>
        <v>1188.8766607887039</v>
      </c>
      <c r="Q29" s="202">
        <f t="shared" si="9"/>
        <v>1146.703543030296</v>
      </c>
      <c r="R29" s="202">
        <f t="shared" si="9"/>
        <v>1104.4222394473384</v>
      </c>
      <c r="S29" s="202">
        <f t="shared" si="9"/>
        <v>1063.2455876867</v>
      </c>
      <c r="T29" s="202">
        <f t="shared" si="9"/>
        <v>1023.2474555252669</v>
      </c>
      <c r="U29" s="202">
        <f t="shared" si="9"/>
        <v>984.64221566013907</v>
      </c>
      <c r="V29" s="202">
        <f t="shared" si="9"/>
        <v>949.47009142164302</v>
      </c>
      <c r="W29" s="202">
        <f t="shared" si="9"/>
        <v>915.59029924757169</v>
      </c>
      <c r="X29" s="202">
        <f t="shared" si="9"/>
        <v>882.81652750055343</v>
      </c>
      <c r="Y29" s="202">
        <f t="shared" si="9"/>
        <v>850.72172304431547</v>
      </c>
      <c r="Z29" s="202">
        <f t="shared" si="9"/>
        <v>819.19442535968608</v>
      </c>
    </row>
    <row r="30" spans="1:26">
      <c r="A30" s="52"/>
      <c r="B30" s="17" t="s">
        <v>35</v>
      </c>
      <c r="C30" s="17"/>
      <c r="D30" s="17"/>
      <c r="E30" s="17"/>
      <c r="F30" s="17"/>
      <c r="G30" s="211"/>
      <c r="H30" s="202">
        <f>H26</f>
        <v>-4958.7331490757033</v>
      </c>
      <c r="I30" s="202">
        <f t="shared" ref="I30:Z30" si="10">I26</f>
        <v>1628.1494747017796</v>
      </c>
      <c r="J30" s="202">
        <f t="shared" si="10"/>
        <v>1973.1934665025624</v>
      </c>
      <c r="K30" s="202">
        <f t="shared" si="10"/>
        <v>2091.5928015104132</v>
      </c>
      <c r="L30" s="202">
        <f t="shared" si="10"/>
        <v>2216.3846437857214</v>
      </c>
      <c r="M30" s="202">
        <f t="shared" si="10"/>
        <v>2346.2062646369445</v>
      </c>
      <c r="N30" s="202">
        <f t="shared" si="10"/>
        <v>2490.3996135956791</v>
      </c>
      <c r="O30" s="202">
        <f t="shared" si="10"/>
        <v>2642.2837703186233</v>
      </c>
      <c r="P30" s="202">
        <f t="shared" si="10"/>
        <v>2803.308977190517</v>
      </c>
      <c r="Q30" s="202">
        <f t="shared" si="10"/>
        <v>2974.2536687047887</v>
      </c>
      <c r="R30" s="202">
        <f t="shared" si="10"/>
        <v>3151.0455419666232</v>
      </c>
      <c r="S30" s="202">
        <f t="shared" si="10"/>
        <v>3336.9201238193391</v>
      </c>
      <c r="T30" s="202">
        <f t="shared" si="10"/>
        <v>3532.5277359108668</v>
      </c>
      <c r="U30" s="202">
        <f t="shared" si="10"/>
        <v>3739.17717535972</v>
      </c>
      <c r="V30" s="202">
        <f t="shared" si="10"/>
        <v>3966.1722013059743</v>
      </c>
      <c r="W30" s="202">
        <f t="shared" si="10"/>
        <v>4207.1126916133171</v>
      </c>
      <c r="X30" s="202">
        <f t="shared" si="10"/>
        <v>4462.1699053522043</v>
      </c>
      <c r="Y30" s="202">
        <f t="shared" si="10"/>
        <v>4729.9424369180397</v>
      </c>
      <c r="Z30" s="202">
        <f t="shared" si="10"/>
        <v>5010.1185955410101</v>
      </c>
    </row>
    <row r="31" spans="1:26">
      <c r="A31" s="53"/>
      <c r="B31" s="55" t="s">
        <v>448</v>
      </c>
      <c r="C31" s="55"/>
      <c r="D31" s="55"/>
      <c r="E31" s="55"/>
      <c r="F31" s="55"/>
      <c r="G31" s="212"/>
      <c r="H31" s="213">
        <f>H26</f>
        <v>-4958.7331490757033</v>
      </c>
      <c r="I31" s="213">
        <f>H31+I26</f>
        <v>-3330.5836743739237</v>
      </c>
      <c r="J31" s="213">
        <f t="shared" ref="J31:Z31" si="11">I31+J26</f>
        <v>-1357.3902078713613</v>
      </c>
      <c r="K31" s="213">
        <f t="shared" si="11"/>
        <v>734.20259363905188</v>
      </c>
      <c r="L31" s="213">
        <f t="shared" si="11"/>
        <v>2950.5872374247733</v>
      </c>
      <c r="M31" s="213">
        <f t="shared" si="11"/>
        <v>5296.7935020617178</v>
      </c>
      <c r="N31" s="213">
        <f t="shared" si="11"/>
        <v>7787.1931156573974</v>
      </c>
      <c r="O31" s="213">
        <f t="shared" si="11"/>
        <v>10429.476885976021</v>
      </c>
      <c r="P31" s="213">
        <f t="shared" si="11"/>
        <v>13232.785863166537</v>
      </c>
      <c r="Q31" s="213">
        <f t="shared" si="11"/>
        <v>16207.039531871325</v>
      </c>
      <c r="R31" s="213">
        <f t="shared" si="11"/>
        <v>19358.085073837949</v>
      </c>
      <c r="S31" s="213">
        <f t="shared" si="11"/>
        <v>22695.005197657287</v>
      </c>
      <c r="T31" s="213">
        <f t="shared" si="11"/>
        <v>26227.532933568153</v>
      </c>
      <c r="U31" s="213">
        <f t="shared" si="11"/>
        <v>29966.710108927873</v>
      </c>
      <c r="V31" s="213">
        <f t="shared" si="11"/>
        <v>33932.88231023385</v>
      </c>
      <c r="W31" s="213">
        <f t="shared" si="11"/>
        <v>38139.995001847165</v>
      </c>
      <c r="X31" s="213">
        <f t="shared" si="11"/>
        <v>42602.164907199367</v>
      </c>
      <c r="Y31" s="213">
        <f t="shared" si="11"/>
        <v>47332.107344117409</v>
      </c>
      <c r="Z31" s="213">
        <f t="shared" si="11"/>
        <v>52342.22593965842</v>
      </c>
    </row>
    <row r="32" spans="1:26">
      <c r="A32" s="52"/>
      <c r="B32" s="17"/>
      <c r="C32" s="17"/>
      <c r="D32" s="17"/>
      <c r="E32" s="17"/>
      <c r="F32" s="17"/>
      <c r="G32" s="201"/>
      <c r="H32" s="202"/>
      <c r="I32" s="202"/>
      <c r="J32" s="202"/>
      <c r="K32" s="202"/>
      <c r="L32" s="202"/>
      <c r="M32" s="202"/>
      <c r="N32" s="202"/>
      <c r="O32" s="202"/>
      <c r="P32" s="202"/>
      <c r="Q32" s="202"/>
      <c r="R32" s="202"/>
      <c r="S32" s="202"/>
      <c r="T32" s="202"/>
      <c r="U32" s="202"/>
      <c r="V32" s="202"/>
      <c r="W32" s="202"/>
      <c r="X32" s="202"/>
      <c r="Y32" s="202"/>
      <c r="Z32" s="202"/>
    </row>
    <row r="33" spans="1:26">
      <c r="A33" s="52"/>
      <c r="B33" s="17"/>
      <c r="C33" s="17"/>
      <c r="D33" s="17"/>
      <c r="E33" s="17"/>
      <c r="F33" s="17"/>
      <c r="G33" s="201"/>
      <c r="H33" s="202"/>
      <c r="I33" s="202"/>
      <c r="J33" s="202"/>
      <c r="K33" s="202"/>
      <c r="L33" s="202"/>
      <c r="M33" s="202"/>
      <c r="N33" s="202"/>
      <c r="O33" s="202"/>
      <c r="P33" s="202"/>
      <c r="Q33" s="202"/>
      <c r="R33" s="202"/>
      <c r="S33" s="202"/>
      <c r="T33" s="202"/>
      <c r="U33" s="202"/>
      <c r="V33" s="202"/>
      <c r="W33" s="202"/>
      <c r="X33" s="202"/>
      <c r="Y33" s="202"/>
      <c r="Z33" s="202"/>
    </row>
    <row r="34" spans="1:26">
      <c r="A34" s="52"/>
      <c r="B34" s="214" t="s">
        <v>36</v>
      </c>
      <c r="C34" s="215"/>
      <c r="D34" s="215"/>
      <c r="E34" s="215"/>
      <c r="F34" s="215"/>
      <c r="G34" s="298">
        <f>NPV(0%,(H29:Z29))</f>
        <v>15888.831518708797</v>
      </c>
      <c r="H34" s="216"/>
      <c r="I34" s="199"/>
      <c r="J34" s="199"/>
      <c r="K34" s="199"/>
      <c r="L34" s="199"/>
      <c r="M34" s="199"/>
      <c r="N34" s="199"/>
      <c r="O34" s="199"/>
      <c r="P34" s="199"/>
      <c r="Q34" s="199"/>
      <c r="R34" s="199"/>
      <c r="S34" s="199"/>
      <c r="T34" s="199"/>
      <c r="U34" s="199"/>
      <c r="V34" s="199"/>
      <c r="W34" s="199"/>
      <c r="X34" s="199"/>
      <c r="Y34" s="199"/>
      <c r="Z34" s="199"/>
    </row>
    <row r="35" spans="1:26">
      <c r="A35" s="52"/>
      <c r="B35" s="217" t="s">
        <v>37</v>
      </c>
      <c r="C35" s="218"/>
      <c r="D35" s="218"/>
      <c r="E35" s="218"/>
      <c r="F35" s="218"/>
      <c r="G35" s="300">
        <f>IRR(C26:Z26,0.1)</f>
        <v>0.17551958511587484</v>
      </c>
      <c r="H35" s="219"/>
      <c r="I35" s="199"/>
      <c r="J35" s="199"/>
      <c r="K35" s="199"/>
      <c r="L35" s="199"/>
      <c r="M35" s="199"/>
      <c r="N35" s="199"/>
      <c r="O35" s="199"/>
      <c r="P35" s="199"/>
      <c r="Q35" s="199"/>
      <c r="R35" s="199"/>
      <c r="S35" s="199"/>
      <c r="T35" s="199"/>
      <c r="U35" s="199"/>
      <c r="V35" s="199"/>
      <c r="W35" s="199"/>
      <c r="X35" s="199"/>
      <c r="Y35" s="199"/>
      <c r="Z35" s="199"/>
    </row>
    <row r="36" spans="1:26">
      <c r="A36" s="52"/>
      <c r="B36" s="220" t="s">
        <v>400</v>
      </c>
      <c r="C36" s="221"/>
      <c r="D36" s="221"/>
      <c r="E36" s="221"/>
      <c r="F36" s="221"/>
      <c r="G36" s="299">
        <f>IF(SUM(H41:Z41)&lt;=25,SUM(H41:Z41)," N/A ")</f>
        <v>3.6489744116976985</v>
      </c>
      <c r="H36" s="222"/>
      <c r="I36" s="199"/>
      <c r="J36" s="199"/>
      <c r="K36" s="199"/>
      <c r="L36" s="199"/>
      <c r="M36" s="199"/>
      <c r="N36" s="199"/>
      <c r="O36" s="199"/>
      <c r="P36" s="199"/>
      <c r="Q36" s="199"/>
      <c r="R36" s="199"/>
      <c r="S36" s="199"/>
      <c r="T36" s="199"/>
      <c r="U36" s="199"/>
      <c r="V36" s="199"/>
      <c r="W36" s="199"/>
      <c r="X36" s="199"/>
      <c r="Y36" s="199"/>
      <c r="Z36" s="199"/>
    </row>
    <row r="37" spans="1:26" ht="23.25" customHeight="1">
      <c r="A37" s="52"/>
      <c r="B37" s="307" t="s">
        <v>401</v>
      </c>
      <c r="C37" s="308"/>
      <c r="D37" s="308"/>
      <c r="E37" s="308"/>
      <c r="F37" s="308"/>
      <c r="G37" s="311">
        <f>IF(SUM(H42:Z42)&lt;=25,SUM(H42:Z42)," N/A ")</f>
        <v>3.9501634361666005</v>
      </c>
      <c r="H37" s="310"/>
      <c r="I37" s="199"/>
      <c r="J37" s="199"/>
      <c r="K37" s="199"/>
      <c r="L37" s="199"/>
      <c r="M37" s="199"/>
      <c r="N37" s="199"/>
      <c r="O37" s="199"/>
      <c r="P37" s="199"/>
      <c r="Q37" s="199"/>
      <c r="R37" s="199"/>
      <c r="S37" s="199"/>
      <c r="T37" s="199"/>
      <c r="U37" s="199"/>
      <c r="V37" s="199"/>
      <c r="W37" s="199"/>
      <c r="X37" s="199"/>
      <c r="Y37" s="199"/>
      <c r="Z37" s="199"/>
    </row>
    <row r="38" spans="1:26">
      <c r="A38" s="286"/>
      <c r="G38" s="1"/>
      <c r="H38" s="223">
        <v>1</v>
      </c>
      <c r="I38" s="301">
        <v>2</v>
      </c>
      <c r="J38" s="301">
        <v>3</v>
      </c>
      <c r="K38" s="301">
        <v>4</v>
      </c>
      <c r="L38" s="301">
        <v>5</v>
      </c>
      <c r="M38" s="301">
        <v>6</v>
      </c>
      <c r="N38" s="301">
        <v>7</v>
      </c>
      <c r="O38" s="301">
        <v>8</v>
      </c>
      <c r="P38" s="301">
        <v>9</v>
      </c>
      <c r="Q38" s="301">
        <v>10</v>
      </c>
      <c r="R38" s="301">
        <v>11</v>
      </c>
      <c r="S38" s="301">
        <v>12</v>
      </c>
      <c r="T38" s="301">
        <v>13</v>
      </c>
      <c r="U38" s="301">
        <v>14</v>
      </c>
      <c r="V38" s="301">
        <v>15</v>
      </c>
      <c r="W38" s="301">
        <v>16</v>
      </c>
      <c r="X38" s="301">
        <v>17</v>
      </c>
      <c r="Y38" s="301">
        <v>18</v>
      </c>
      <c r="Z38" s="302">
        <v>19</v>
      </c>
    </row>
    <row r="39" spans="1:26">
      <c r="A39" s="2"/>
      <c r="B39" s="303" t="s">
        <v>402</v>
      </c>
      <c r="G39" s="1"/>
      <c r="H39" s="223">
        <f t="shared" ref="H39:Z39" si="12">IF(H31&lt;0,1,IF(H30=0,0,-G31/H30))</f>
        <v>1</v>
      </c>
      <c r="I39" s="223">
        <f t="shared" si="12"/>
        <v>1</v>
      </c>
      <c r="J39" s="223">
        <f t="shared" si="12"/>
        <v>1</v>
      </c>
      <c r="K39" s="223">
        <f t="shared" si="12"/>
        <v>0.64897441169769843</v>
      </c>
      <c r="L39" s="223">
        <f t="shared" si="12"/>
        <v>-0.33126136101763848</v>
      </c>
      <c r="M39" s="223">
        <f t="shared" si="12"/>
        <v>-1.2575992494340014</v>
      </c>
      <c r="N39" s="223">
        <f t="shared" si="12"/>
        <v>-2.1268849678361947</v>
      </c>
      <c r="O39" s="223">
        <f t="shared" si="12"/>
        <v>-2.9471448915263059</v>
      </c>
      <c r="P39" s="223">
        <f t="shared" si="12"/>
        <v>-3.7204164688362207</v>
      </c>
      <c r="Q39" s="223">
        <f t="shared" si="12"/>
        <v>-4.4491113862958018</v>
      </c>
      <c r="R39" s="223">
        <f t="shared" si="12"/>
        <v>-5.143384732470806</v>
      </c>
      <c r="S39" s="223">
        <f t="shared" si="12"/>
        <v>-5.8011832335025337</v>
      </c>
      <c r="T39" s="223">
        <f t="shared" si="12"/>
        <v>-6.4245794780165681</v>
      </c>
      <c r="U39" s="223">
        <f t="shared" si="12"/>
        <v>-7.0142525222932202</v>
      </c>
      <c r="V39" s="223">
        <f t="shared" si="12"/>
        <v>-7.5555746417315133</v>
      </c>
      <c r="W39" s="223">
        <f t="shared" si="12"/>
        <v>-8.0655986177592691</v>
      </c>
      <c r="X39" s="223">
        <f t="shared" si="12"/>
        <v>-8.5474098501044704</v>
      </c>
      <c r="Y39" s="223">
        <f t="shared" si="12"/>
        <v>-9.0069098039506592</v>
      </c>
      <c r="Z39" s="306">
        <f t="shared" si="12"/>
        <v>-9.4473027816632591</v>
      </c>
    </row>
    <row r="40" spans="1:26">
      <c r="A40" s="63"/>
      <c r="B40" s="303" t="s">
        <v>403</v>
      </c>
      <c r="G40" s="1"/>
      <c r="H40" s="223">
        <f t="shared" ref="H40:Z40" si="13">IF(H31&lt;0,1,IF(H29=0,0,-G31/H29))</f>
        <v>1</v>
      </c>
      <c r="I40" s="223">
        <f t="shared" si="13"/>
        <v>1</v>
      </c>
      <c r="J40" s="223">
        <f t="shared" si="13"/>
        <v>1</v>
      </c>
      <c r="K40" s="223">
        <f t="shared" si="13"/>
        <v>0.95016343616660048</v>
      </c>
      <c r="L40" s="223">
        <f t="shared" si="13"/>
        <v>-0.53349973453251709</v>
      </c>
      <c r="M40" s="223">
        <f t="shared" si="13"/>
        <v>-2.2279137839265499</v>
      </c>
      <c r="N40" s="223">
        <f t="shared" si="13"/>
        <v>-4.1446971065553457</v>
      </c>
      <c r="O40" s="223">
        <f t="shared" si="13"/>
        <v>-6.3174668109244569</v>
      </c>
      <c r="P40" s="223">
        <f t="shared" si="13"/>
        <v>-8.7725474222507476</v>
      </c>
      <c r="Q40" s="223">
        <f t="shared" si="13"/>
        <v>-11.539849112349804</v>
      </c>
      <c r="R40" s="223">
        <f t="shared" si="13"/>
        <v>-14.674676906163585</v>
      </c>
      <c r="S40" s="223">
        <f t="shared" si="13"/>
        <v>-18.206598078582459</v>
      </c>
      <c r="T40" s="223">
        <f t="shared" si="13"/>
        <v>-22.179390796537273</v>
      </c>
      <c r="U40" s="223">
        <f t="shared" si="13"/>
        <v>-26.636612280516822</v>
      </c>
      <c r="V40" s="223">
        <f t="shared" si="13"/>
        <v>-31.561510341056316</v>
      </c>
      <c r="W40" s="223">
        <f t="shared" si="13"/>
        <v>-37.061207767403992</v>
      </c>
      <c r="X40" s="223">
        <f t="shared" si="13"/>
        <v>-43.202629101009052</v>
      </c>
      <c r="Y40" s="223">
        <f t="shared" si="13"/>
        <v>-50.07767376004827</v>
      </c>
      <c r="Z40" s="306">
        <f t="shared" si="13"/>
        <v>-57.778844531730257</v>
      </c>
    </row>
    <row r="41" spans="1:26">
      <c r="A41" s="2"/>
      <c r="B41" s="303" t="s">
        <v>404</v>
      </c>
      <c r="G41" s="1"/>
      <c r="H41" s="296">
        <f>IF(H39&gt;0,H39,0)</f>
        <v>1</v>
      </c>
      <c r="I41" s="296">
        <f t="shared" ref="I41:Z42" si="14">IF(I39&gt;0,I39,0)</f>
        <v>1</v>
      </c>
      <c r="J41" s="296">
        <f t="shared" si="14"/>
        <v>1</v>
      </c>
      <c r="K41" s="296">
        <f t="shared" si="14"/>
        <v>0.64897441169769843</v>
      </c>
      <c r="L41" s="296">
        <f t="shared" si="14"/>
        <v>0</v>
      </c>
      <c r="M41" s="296">
        <f t="shared" si="14"/>
        <v>0</v>
      </c>
      <c r="N41" s="296">
        <f t="shared" si="14"/>
        <v>0</v>
      </c>
      <c r="O41" s="296">
        <f t="shared" si="14"/>
        <v>0</v>
      </c>
      <c r="P41" s="296">
        <f t="shared" si="14"/>
        <v>0</v>
      </c>
      <c r="Q41" s="296">
        <f t="shared" si="14"/>
        <v>0</v>
      </c>
      <c r="R41" s="296">
        <f t="shared" si="14"/>
        <v>0</v>
      </c>
      <c r="S41" s="296">
        <f t="shared" si="14"/>
        <v>0</v>
      </c>
      <c r="T41" s="296">
        <f t="shared" si="14"/>
        <v>0</v>
      </c>
      <c r="U41" s="296">
        <f t="shared" si="14"/>
        <v>0</v>
      </c>
      <c r="V41" s="296">
        <f t="shared" si="14"/>
        <v>0</v>
      </c>
      <c r="W41" s="296">
        <f t="shared" si="14"/>
        <v>0</v>
      </c>
      <c r="X41" s="296">
        <f t="shared" si="14"/>
        <v>0</v>
      </c>
      <c r="Y41" s="296">
        <f t="shared" si="14"/>
        <v>0</v>
      </c>
      <c r="Z41" s="297">
        <f t="shared" si="14"/>
        <v>0</v>
      </c>
    </row>
    <row r="42" spans="1:26">
      <c r="A42" s="224"/>
      <c r="B42" s="295" t="s">
        <v>405</v>
      </c>
      <c r="C42" s="225"/>
      <c r="D42" s="225"/>
      <c r="E42" s="225"/>
      <c r="F42" s="225"/>
      <c r="G42" s="225"/>
      <c r="H42" s="304">
        <f>IF(H40&gt;0,H40,0)</f>
        <v>1</v>
      </c>
      <c r="I42" s="304">
        <f t="shared" si="14"/>
        <v>1</v>
      </c>
      <c r="J42" s="304">
        <f t="shared" si="14"/>
        <v>1</v>
      </c>
      <c r="K42" s="304">
        <f t="shared" si="14"/>
        <v>0.95016343616660048</v>
      </c>
      <c r="L42" s="304">
        <f t="shared" si="14"/>
        <v>0</v>
      </c>
      <c r="M42" s="304">
        <f t="shared" si="14"/>
        <v>0</v>
      </c>
      <c r="N42" s="304">
        <f t="shared" si="14"/>
        <v>0</v>
      </c>
      <c r="O42" s="304">
        <f t="shared" si="14"/>
        <v>0</v>
      </c>
      <c r="P42" s="304">
        <f t="shared" si="14"/>
        <v>0</v>
      </c>
      <c r="Q42" s="304">
        <f t="shared" si="14"/>
        <v>0</v>
      </c>
      <c r="R42" s="304">
        <f t="shared" si="14"/>
        <v>0</v>
      </c>
      <c r="S42" s="304">
        <f t="shared" si="14"/>
        <v>0</v>
      </c>
      <c r="T42" s="304">
        <f t="shared" si="14"/>
        <v>0</v>
      </c>
      <c r="U42" s="304">
        <f t="shared" si="14"/>
        <v>0</v>
      </c>
      <c r="V42" s="304">
        <f t="shared" si="14"/>
        <v>0</v>
      </c>
      <c r="W42" s="304">
        <f t="shared" si="14"/>
        <v>0</v>
      </c>
      <c r="X42" s="304">
        <f t="shared" si="14"/>
        <v>0</v>
      </c>
      <c r="Y42" s="304">
        <f t="shared" si="14"/>
        <v>0</v>
      </c>
      <c r="Z42" s="305">
        <f t="shared" si="14"/>
        <v>0</v>
      </c>
    </row>
    <row r="43" spans="1:26">
      <c r="C43" s="163"/>
      <c r="D43" s="163"/>
      <c r="E43" s="163"/>
      <c r="F43" s="163"/>
    </row>
    <row r="44" spans="1:26">
      <c r="C44" s="163"/>
      <c r="D44" s="163"/>
      <c r="E44" s="163"/>
      <c r="F44" s="163"/>
    </row>
    <row r="45" spans="1:26">
      <c r="C45" s="163"/>
      <c r="D45" s="163"/>
      <c r="E45" s="163"/>
      <c r="F45" s="163"/>
    </row>
    <row r="46" spans="1:26">
      <c r="C46" s="163"/>
      <c r="D46" s="163"/>
      <c r="E46" s="163"/>
      <c r="F46" s="163"/>
    </row>
    <row r="47" spans="1:26">
      <c r="C47" s="163"/>
      <c r="D47" s="163"/>
      <c r="E47" s="163"/>
      <c r="F47" s="163"/>
    </row>
    <row r="48" spans="1:26">
      <c r="C48" s="163"/>
      <c r="D48" s="163"/>
      <c r="E48" s="163"/>
      <c r="F48" s="163"/>
    </row>
    <row r="49" spans="1:26">
      <c r="C49" s="163"/>
      <c r="D49" s="163"/>
      <c r="E49" s="163"/>
      <c r="F49" s="163"/>
    </row>
    <row r="50" spans="1:26">
      <c r="A50" s="286"/>
      <c r="B50" s="287" t="s">
        <v>393</v>
      </c>
      <c r="C50" s="287"/>
      <c r="D50" s="287"/>
      <c r="E50" s="287"/>
      <c r="F50" s="287"/>
      <c r="G50" s="287"/>
      <c r="H50" s="158">
        <f t="shared" ref="H50:Z50" si="15">H11/(500000*H3)*10^7</f>
        <v>74749.509166666656</v>
      </c>
      <c r="I50" s="158">
        <f t="shared" si="15"/>
        <v>79050.595924116642</v>
      </c>
      <c r="J50" s="158">
        <f t="shared" si="15"/>
        <v>83599.167213590306</v>
      </c>
      <c r="K50" s="158">
        <f t="shared" si="15"/>
        <v>88409.463295060312</v>
      </c>
      <c r="L50" s="158">
        <f t="shared" si="15"/>
        <v>93496.54381305803</v>
      </c>
      <c r="M50" s="158">
        <f t="shared" si="15"/>
        <v>98876.334944061411</v>
      </c>
      <c r="N50" s="158">
        <f t="shared" si="15"/>
        <v>104565.67925674267</v>
      </c>
      <c r="O50" s="158">
        <f t="shared" si="15"/>
        <v>110582.38844117564</v>
      </c>
      <c r="P50" s="158">
        <f t="shared" si="15"/>
        <v>116945.29907208087</v>
      </c>
      <c r="Q50" s="158">
        <f t="shared" si="15"/>
        <v>123674.33158068838</v>
      </c>
      <c r="R50" s="158">
        <f t="shared" si="15"/>
        <v>130790.55261984114</v>
      </c>
      <c r="S50" s="158">
        <f t="shared" si="15"/>
        <v>138316.24101758684</v>
      </c>
      <c r="T50" s="158">
        <f t="shared" si="15"/>
        <v>146274.95752573875</v>
      </c>
      <c r="U50" s="158">
        <f t="shared" si="15"/>
        <v>154691.61858176976</v>
      </c>
      <c r="V50" s="158">
        <f t="shared" si="15"/>
        <v>163592.57431496476</v>
      </c>
      <c r="W50" s="158">
        <f t="shared" si="15"/>
        <v>173005.69104104786</v>
      </c>
      <c r="X50" s="158">
        <f t="shared" si="15"/>
        <v>182960.43850354973</v>
      </c>
      <c r="Y50" s="158">
        <f t="shared" si="15"/>
        <v>193487.98213504392</v>
      </c>
      <c r="Z50" s="158">
        <f t="shared" si="15"/>
        <v>204621.2806270943</v>
      </c>
    </row>
    <row r="51" spans="1:26" s="32" customFormat="1">
      <c r="A51" s="2"/>
      <c r="B51" s="1" t="s">
        <v>394</v>
      </c>
      <c r="C51" s="1"/>
      <c r="D51" s="1"/>
      <c r="E51" s="1"/>
      <c r="F51" s="1"/>
      <c r="G51" s="1"/>
      <c r="H51" s="75">
        <f>H21/(500000*H3)*10^7</f>
        <v>43471.884854543889</v>
      </c>
      <c r="I51" s="75">
        <f>I21/(500000*I3)*10^7</f>
        <v>42869.496486299322</v>
      </c>
      <c r="J51" s="75">
        <f t="shared" ref="J51:Z51" si="16">J21/(500000)*10^7</f>
        <v>44135.297883539053</v>
      </c>
      <c r="K51" s="75">
        <f t="shared" si="16"/>
        <v>46577.607264852042</v>
      </c>
      <c r="L51" s="75">
        <f t="shared" si="16"/>
        <v>49168.85093734361</v>
      </c>
      <c r="M51" s="75">
        <f t="shared" si="16"/>
        <v>51952.209651322504</v>
      </c>
      <c r="N51" s="75">
        <f t="shared" si="16"/>
        <v>54757.686984829095</v>
      </c>
      <c r="O51" s="75">
        <f t="shared" si="16"/>
        <v>57736.713034803171</v>
      </c>
      <c r="P51" s="75">
        <f t="shared" si="16"/>
        <v>60879.11952827053</v>
      </c>
      <c r="Q51" s="75">
        <f t="shared" si="16"/>
        <v>64189.258206592596</v>
      </c>
      <c r="R51" s="75">
        <f t="shared" si="16"/>
        <v>67769.641780508682</v>
      </c>
      <c r="S51" s="75">
        <f t="shared" si="16"/>
        <v>71577.83854120005</v>
      </c>
      <c r="T51" s="75">
        <f t="shared" si="16"/>
        <v>75624.402807521416</v>
      </c>
      <c r="U51" s="75">
        <f t="shared" si="16"/>
        <v>79908.075074575376</v>
      </c>
      <c r="V51" s="75">
        <f t="shared" si="16"/>
        <v>84269.130288845263</v>
      </c>
      <c r="W51" s="75">
        <f t="shared" si="16"/>
        <v>88863.437208781514</v>
      </c>
      <c r="X51" s="75">
        <f t="shared" si="16"/>
        <v>93717.040396505618</v>
      </c>
      <c r="Y51" s="75">
        <f t="shared" si="16"/>
        <v>98889.13339668313</v>
      </c>
      <c r="Z51" s="75">
        <f t="shared" si="16"/>
        <v>104418.90871627412</v>
      </c>
    </row>
    <row r="52" spans="1:26" s="32" customFormat="1">
      <c r="A52" s="224"/>
      <c r="B52" s="225" t="s">
        <v>395</v>
      </c>
      <c r="C52" s="225"/>
      <c r="D52" s="225"/>
      <c r="E52" s="225"/>
      <c r="F52" s="225"/>
      <c r="G52" s="225"/>
      <c r="H52" s="289">
        <f>H50-H51</f>
        <v>31277.624312122767</v>
      </c>
      <c r="I52" s="289">
        <f t="shared" ref="I52:Z52" si="17">I50-I51</f>
        <v>36181.09943781732</v>
      </c>
      <c r="J52" s="289">
        <f t="shared" si="17"/>
        <v>39463.869330051253</v>
      </c>
      <c r="K52" s="289">
        <f t="shared" si="17"/>
        <v>41831.85603020827</v>
      </c>
      <c r="L52" s="289">
        <f t="shared" si="17"/>
        <v>44327.69287571442</v>
      </c>
      <c r="M52" s="289">
        <f t="shared" si="17"/>
        <v>46924.125292738907</v>
      </c>
      <c r="N52" s="289">
        <f t="shared" si="17"/>
        <v>49807.992271913579</v>
      </c>
      <c r="O52" s="289">
        <f t="shared" si="17"/>
        <v>52845.675406372473</v>
      </c>
      <c r="P52" s="289">
        <f t="shared" si="17"/>
        <v>56066.179543810344</v>
      </c>
      <c r="Q52" s="289">
        <f t="shared" si="17"/>
        <v>59485.07337409578</v>
      </c>
      <c r="R52" s="289">
        <f t="shared" si="17"/>
        <v>63020.910839332457</v>
      </c>
      <c r="S52" s="289">
        <f t="shared" si="17"/>
        <v>66738.402476386793</v>
      </c>
      <c r="T52" s="289">
        <f t="shared" si="17"/>
        <v>70650.554718217332</v>
      </c>
      <c r="U52" s="289">
        <f t="shared" si="17"/>
        <v>74783.543507194379</v>
      </c>
      <c r="V52" s="289">
        <f t="shared" si="17"/>
        <v>79323.444026119498</v>
      </c>
      <c r="W52" s="289">
        <f t="shared" si="17"/>
        <v>84142.253832266346</v>
      </c>
      <c r="X52" s="289">
        <f t="shared" si="17"/>
        <v>89243.398107044108</v>
      </c>
      <c r="Y52" s="289">
        <f t="shared" si="17"/>
        <v>94598.848738360786</v>
      </c>
      <c r="Z52" s="42">
        <f t="shared" si="17"/>
        <v>100202.37191082018</v>
      </c>
    </row>
    <row r="53" spans="1:26" s="32" customFormat="1">
      <c r="A53" s="58"/>
      <c r="C53" s="1"/>
      <c r="D53" s="1"/>
      <c r="E53" s="1"/>
      <c r="F53" s="1"/>
      <c r="G53" s="58"/>
      <c r="H53" s="617">
        <f>H52/H50</f>
        <v>0.41843250425075063</v>
      </c>
      <c r="L53" s="226"/>
      <c r="M53" s="226"/>
      <c r="N53" s="226"/>
      <c r="O53" s="226"/>
      <c r="P53" s="226"/>
      <c r="Q53" s="226"/>
    </row>
    <row r="54" spans="1:26" s="32" customFormat="1">
      <c r="A54" s="58"/>
      <c r="C54" s="1"/>
      <c r="D54" s="1"/>
      <c r="E54" s="1"/>
      <c r="F54" s="1"/>
      <c r="G54" s="58"/>
    </row>
    <row r="55" spans="1:26" s="32" customFormat="1">
      <c r="A55" s="58"/>
      <c r="B55" s="227" t="s">
        <v>399</v>
      </c>
      <c r="C55" s="228">
        <v>4.4999999999999998E-2</v>
      </c>
      <c r="D55" s="1"/>
      <c r="E55" s="1"/>
      <c r="F55" s="1"/>
      <c r="G55" s="58"/>
    </row>
    <row r="56" spans="1:26" s="32" customFormat="1">
      <c r="A56" s="58"/>
      <c r="B56" s="227" t="s">
        <v>349</v>
      </c>
      <c r="C56" s="230">
        <v>4</v>
      </c>
      <c r="D56" s="1"/>
      <c r="E56" s="1"/>
      <c r="F56" s="1"/>
      <c r="G56" s="58"/>
    </row>
    <row r="57" spans="1:26" s="32" customFormat="1" ht="14.45" customHeight="1">
      <c r="A57" s="58"/>
      <c r="C57" s="1"/>
      <c r="D57" s="1"/>
      <c r="E57" s="1"/>
      <c r="F57" s="1"/>
      <c r="G57" s="58"/>
    </row>
    <row r="58" spans="1:26" s="32" customFormat="1">
      <c r="A58" s="58"/>
      <c r="B58" s="1"/>
      <c r="C58" s="1"/>
      <c r="D58" s="1"/>
      <c r="E58" s="1"/>
      <c r="F58" s="1"/>
      <c r="G58" s="58"/>
    </row>
    <row r="61" spans="1:26" s="32" customFormat="1">
      <c r="A61" s="58"/>
      <c r="B61" s="1"/>
      <c r="E61" s="1"/>
      <c r="F61" s="1"/>
      <c r="G61" s="58"/>
      <c r="I61" s="226"/>
      <c r="J61" s="226"/>
      <c r="K61" s="226"/>
      <c r="L61" s="226"/>
      <c r="M61" s="226"/>
      <c r="N61" s="226"/>
      <c r="P61" s="226"/>
    </row>
    <row r="62" spans="1:26" s="32" customFormat="1">
      <c r="A62" s="58"/>
      <c r="B62" s="1"/>
      <c r="E62" s="1"/>
      <c r="F62" s="1"/>
      <c r="G62" s="58"/>
      <c r="I62" s="229"/>
      <c r="J62" s="1093"/>
      <c r="K62" s="1093"/>
      <c r="L62" s="1093"/>
      <c r="M62" s="1093"/>
      <c r="N62" s="1093"/>
    </row>
    <row r="63" spans="1:26" s="32" customFormat="1">
      <c r="A63" s="58"/>
      <c r="B63" s="1"/>
      <c r="E63" s="1"/>
      <c r="F63" s="1"/>
      <c r="G63" s="58"/>
      <c r="I63" s="226"/>
      <c r="J63" s="226"/>
      <c r="K63" s="226"/>
      <c r="L63" s="226"/>
      <c r="M63" s="226"/>
      <c r="N63" s="226"/>
      <c r="P63" s="226"/>
    </row>
    <row r="64" spans="1:26" s="32" customFormat="1">
      <c r="A64" s="58"/>
      <c r="B64" s="1"/>
      <c r="E64" s="1"/>
      <c r="F64" s="1"/>
      <c r="G64" s="58"/>
      <c r="I64" s="226"/>
      <c r="J64" s="226"/>
      <c r="K64" s="226"/>
      <c r="L64" s="226"/>
      <c r="M64" s="226"/>
      <c r="N64" s="226"/>
      <c r="P64" s="226"/>
    </row>
    <row r="65" spans="1:16" s="32" customFormat="1">
      <c r="A65" s="58"/>
      <c r="B65" s="1"/>
      <c r="C65" s="1"/>
      <c r="D65" s="1"/>
      <c r="E65" s="1"/>
      <c r="F65" s="1"/>
      <c r="G65" s="58"/>
      <c r="I65" s="229"/>
      <c r="J65" s="1093"/>
      <c r="K65" s="1093"/>
      <c r="L65" s="1093"/>
      <c r="M65" s="1093"/>
      <c r="N65" s="1093"/>
    </row>
    <row r="66" spans="1:16" s="32" customFormat="1">
      <c r="A66" s="58"/>
      <c r="B66" s="1"/>
      <c r="C66" s="1"/>
      <c r="D66" s="1"/>
      <c r="E66" s="1"/>
      <c r="F66" s="1"/>
      <c r="G66" s="58"/>
      <c r="I66" s="226"/>
      <c r="J66" s="226"/>
      <c r="K66" s="226"/>
      <c r="L66" s="226"/>
      <c r="M66" s="226"/>
      <c r="N66" s="226"/>
      <c r="P66" s="226"/>
    </row>
    <row r="67" spans="1:16" s="32" customFormat="1">
      <c r="A67" s="58"/>
      <c r="B67" s="1"/>
      <c r="C67" s="1"/>
      <c r="D67" s="1"/>
      <c r="E67" s="1"/>
      <c r="F67" s="1"/>
      <c r="G67" s="58"/>
      <c r="I67" s="226"/>
      <c r="J67" s="226"/>
      <c r="K67" s="226"/>
      <c r="L67" s="226"/>
      <c r="M67" s="226"/>
      <c r="N67" s="226"/>
      <c r="P67" s="226"/>
    </row>
    <row r="68" spans="1:16" s="32" customFormat="1">
      <c r="A68" s="58"/>
      <c r="B68" s="1"/>
      <c r="C68" s="1"/>
      <c r="D68" s="1"/>
      <c r="E68" s="1"/>
      <c r="F68" s="1"/>
      <c r="G68" s="58"/>
      <c r="I68" s="229"/>
      <c r="J68" s="1093"/>
      <c r="K68" s="1093"/>
      <c r="L68" s="1093"/>
      <c r="M68" s="1093"/>
      <c r="N68" s="1093"/>
    </row>
    <row r="69" spans="1:16" s="32" customFormat="1">
      <c r="A69" s="58"/>
      <c r="B69" s="1"/>
      <c r="C69" s="1"/>
      <c r="D69" s="1"/>
      <c r="E69" s="1"/>
      <c r="F69" s="1"/>
      <c r="G69" s="58"/>
      <c r="I69" s="226"/>
      <c r="J69" s="226"/>
      <c r="K69" s="226"/>
      <c r="L69" s="226"/>
      <c r="M69" s="226"/>
      <c r="N69" s="226"/>
      <c r="P69" s="226"/>
    </row>
    <row r="70" spans="1:16" s="32" customFormat="1">
      <c r="A70" s="58"/>
      <c r="B70" s="1"/>
      <c r="C70" s="1"/>
      <c r="D70" s="1"/>
      <c r="E70" s="1"/>
      <c r="F70" s="1"/>
      <c r="G70" s="58"/>
      <c r="I70" s="226"/>
      <c r="J70" s="226"/>
      <c r="K70" s="226"/>
      <c r="L70" s="226"/>
      <c r="M70" s="226"/>
      <c r="N70" s="226"/>
      <c r="P70" s="226"/>
    </row>
    <row r="81" spans="1:13" s="32" customFormat="1">
      <c r="A81" s="58"/>
      <c r="B81" s="1"/>
      <c r="C81" s="1"/>
      <c r="D81" s="1"/>
      <c r="E81" s="1"/>
      <c r="F81" s="1"/>
      <c r="G81" s="58"/>
      <c r="H81" s="199"/>
      <c r="I81" s="199"/>
      <c r="J81" s="199"/>
      <c r="K81" s="199"/>
      <c r="L81" s="199"/>
      <c r="M81" s="199"/>
    </row>
    <row r="82" spans="1:13" s="32" customFormat="1">
      <c r="A82" s="58"/>
      <c r="B82" s="1"/>
      <c r="C82" s="1"/>
      <c r="D82" s="1"/>
      <c r="E82" s="1"/>
      <c r="F82" s="1"/>
      <c r="G82" s="58"/>
      <c r="H82" s="231"/>
      <c r="I82" s="231"/>
      <c r="J82" s="231"/>
      <c r="K82" s="231"/>
      <c r="L82" s="231"/>
      <c r="M82" s="231"/>
    </row>
    <row r="83" spans="1:13" s="32" customFormat="1">
      <c r="A83" s="58"/>
      <c r="B83" s="1"/>
      <c r="C83" s="1"/>
      <c r="D83" s="1"/>
      <c r="E83" s="1"/>
      <c r="F83" s="1"/>
      <c r="G83" s="58"/>
      <c r="H83" s="231"/>
      <c r="I83" s="231"/>
      <c r="J83" s="231"/>
      <c r="K83" s="231"/>
      <c r="L83" s="231"/>
      <c r="M83" s="231"/>
    </row>
  </sheetData>
  <mergeCells count="11">
    <mergeCell ref="R4:Z4"/>
    <mergeCell ref="B5:B6"/>
    <mergeCell ref="A7:G7"/>
    <mergeCell ref="A1:F1"/>
    <mergeCell ref="J62:N62"/>
    <mergeCell ref="J65:N65"/>
    <mergeCell ref="J68:N68"/>
    <mergeCell ref="A2:B2"/>
    <mergeCell ref="A3:B3"/>
    <mergeCell ref="A4:A6"/>
    <mergeCell ref="H4:Q4"/>
  </mergeCells>
  <hyperlinks>
    <hyperlink ref="B34" r:id="rId1" display="NPV@12%" xr:uid="{1AFE0B94-A956-40F1-B1E9-5DA5181175AF}"/>
  </hyperlinks>
  <pageMargins left="0.7" right="0.7" top="0.75" bottom="0.75" header="0.3" footer="0.3"/>
  <pageSetup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DF6B5-9145-49C2-BDDE-538B2A6E6979}">
  <sheetPr codeName="Sheet12"/>
  <dimension ref="A1:AA81"/>
  <sheetViews>
    <sheetView showGridLines="0" topLeftCell="C1" zoomScale="96" zoomScaleNormal="96" workbookViewId="0">
      <pane ySplit="8" topLeftCell="A19" activePane="bottomLeft" state="frozen"/>
      <selection activeCell="G10" sqref="G10"/>
      <selection pane="bottomLeft" activeCell="J32" sqref="J32"/>
    </sheetView>
  </sheetViews>
  <sheetFormatPr defaultColWidth="8.7109375" defaultRowHeight="12.75"/>
  <cols>
    <col min="1" max="1" width="8.85546875" style="58" bestFit="1" customWidth="1"/>
    <col min="2" max="2" width="60" style="1" bestFit="1" customWidth="1"/>
    <col min="3" max="3" width="21.28515625" style="1" bestFit="1" customWidth="1"/>
    <col min="4" max="4" width="8.140625" style="1" customWidth="1"/>
    <col min="5" max="5" width="20" style="1" bestFit="1" customWidth="1"/>
    <col min="6" max="6" width="45.5703125" style="1" customWidth="1"/>
    <col min="7" max="7" width="10.7109375" style="58" customWidth="1"/>
    <col min="8" max="8" width="18" style="32" bestFit="1" customWidth="1"/>
    <col min="9" max="9" width="17.140625" style="32" customWidth="1"/>
    <col min="10" max="10" width="18.5703125" style="32" bestFit="1" customWidth="1"/>
    <col min="11" max="11" width="18.7109375" style="32" bestFit="1" customWidth="1"/>
    <col min="12" max="12" width="18.5703125" style="32" bestFit="1" customWidth="1"/>
    <col min="13" max="17" width="18.7109375" style="32" bestFit="1" customWidth="1"/>
    <col min="18" max="18" width="15" style="32" customWidth="1"/>
    <col min="19" max="19" width="16.28515625" style="32" customWidth="1"/>
    <col min="20" max="20" width="16.42578125" style="32" customWidth="1"/>
    <col min="21" max="21" width="18" style="32" customWidth="1"/>
    <col min="22" max="22" width="18.7109375" style="32" customWidth="1"/>
    <col min="23" max="23" width="19.140625" style="32" customWidth="1"/>
    <col min="24" max="24" width="20.42578125" style="32" customWidth="1"/>
    <col min="25" max="25" width="19" style="32" customWidth="1"/>
    <col min="26" max="26" width="19.28515625" style="32" customWidth="1"/>
    <col min="27" max="16384" width="8.7109375" style="1"/>
  </cols>
  <sheetData>
    <row r="1" spans="1:27" ht="12.75" customHeight="1">
      <c r="A1" s="1102" t="str">
        <f>'Opex PVC'!A43</f>
        <v>Capacity for 500 KTPA PVC Resin (EDC / VCM to PVC Plant (EDC / VCM Outsourced)</v>
      </c>
      <c r="B1" s="1103"/>
      <c r="C1" s="1103"/>
      <c r="D1" s="1103"/>
      <c r="E1" s="1103"/>
      <c r="F1" s="1104"/>
    </row>
    <row r="2" spans="1:27" s="167" customFormat="1" ht="15" customHeight="1">
      <c r="A2" s="1089" t="s">
        <v>445</v>
      </c>
      <c r="B2" s="1090"/>
      <c r="C2" s="166">
        <v>1</v>
      </c>
      <c r="D2" s="166">
        <v>2</v>
      </c>
      <c r="E2" s="166">
        <v>3</v>
      </c>
      <c r="F2" s="166">
        <v>4</v>
      </c>
      <c r="G2" s="166"/>
      <c r="H2" s="166">
        <v>5</v>
      </c>
      <c r="I2" s="166">
        <v>6</v>
      </c>
      <c r="J2" s="166">
        <v>7</v>
      </c>
      <c r="K2" s="166">
        <v>8</v>
      </c>
      <c r="L2" s="166">
        <v>9</v>
      </c>
      <c r="M2" s="166">
        <v>10</v>
      </c>
      <c r="N2" s="166">
        <v>11</v>
      </c>
      <c r="O2" s="166">
        <v>12</v>
      </c>
      <c r="P2" s="166">
        <v>13</v>
      </c>
      <c r="Q2" s="166">
        <v>14</v>
      </c>
      <c r="R2" s="166">
        <v>15</v>
      </c>
      <c r="S2" s="166">
        <v>16</v>
      </c>
      <c r="T2" s="166">
        <v>17</v>
      </c>
      <c r="U2" s="166">
        <v>18</v>
      </c>
      <c r="V2" s="166">
        <v>19</v>
      </c>
      <c r="W2" s="166">
        <v>20</v>
      </c>
      <c r="X2" s="166">
        <v>21</v>
      </c>
      <c r="Y2" s="166">
        <v>22</v>
      </c>
      <c r="Z2" s="166">
        <v>23</v>
      </c>
    </row>
    <row r="3" spans="1:27" s="167" customFormat="1" ht="15" customHeight="1">
      <c r="A3" s="1098" t="s">
        <v>223</v>
      </c>
      <c r="B3" s="1099"/>
      <c r="C3" s="158"/>
      <c r="D3" s="158"/>
      <c r="E3" s="158"/>
      <c r="F3" s="158"/>
      <c r="G3" s="158"/>
      <c r="H3" s="168">
        <v>0.7</v>
      </c>
      <c r="I3" s="168">
        <v>0.9</v>
      </c>
      <c r="J3" s="168">
        <v>1</v>
      </c>
      <c r="K3" s="168">
        <v>1</v>
      </c>
      <c r="L3" s="168">
        <v>1</v>
      </c>
      <c r="M3" s="168">
        <v>1</v>
      </c>
      <c r="N3" s="168">
        <v>1</v>
      </c>
      <c r="O3" s="168">
        <v>1</v>
      </c>
      <c r="P3" s="168">
        <v>1</v>
      </c>
      <c r="Q3" s="168">
        <v>1</v>
      </c>
      <c r="R3" s="168">
        <v>1</v>
      </c>
      <c r="S3" s="168">
        <v>1</v>
      </c>
      <c r="T3" s="168">
        <v>1</v>
      </c>
      <c r="U3" s="168">
        <v>1</v>
      </c>
      <c r="V3" s="168">
        <v>1</v>
      </c>
      <c r="W3" s="168">
        <v>1</v>
      </c>
      <c r="X3" s="168">
        <v>1</v>
      </c>
      <c r="Y3" s="168">
        <v>1</v>
      </c>
      <c r="Z3" s="168">
        <v>1</v>
      </c>
    </row>
    <row r="4" spans="1:27">
      <c r="A4" s="1096"/>
      <c r="B4" s="169" t="s">
        <v>24</v>
      </c>
      <c r="C4" s="169"/>
      <c r="D4" s="169"/>
      <c r="E4" s="169"/>
      <c r="F4" s="169"/>
      <c r="G4" s="169"/>
      <c r="H4" s="1088" t="s">
        <v>25</v>
      </c>
      <c r="I4" s="1088"/>
      <c r="J4" s="1088"/>
      <c r="K4" s="1088"/>
      <c r="L4" s="1088"/>
      <c r="M4" s="1088"/>
      <c r="N4" s="1088"/>
      <c r="O4" s="1088"/>
      <c r="P4" s="1088"/>
      <c r="Q4" s="1088"/>
      <c r="R4" s="1088" t="s">
        <v>25</v>
      </c>
      <c r="S4" s="1088"/>
      <c r="T4" s="1088"/>
      <c r="U4" s="1088"/>
      <c r="V4" s="1088"/>
      <c r="W4" s="1088"/>
      <c r="X4" s="1088"/>
      <c r="Y4" s="1088"/>
      <c r="Z4" s="1088"/>
    </row>
    <row r="5" spans="1:27">
      <c r="A5" s="1100"/>
      <c r="B5" s="1091" t="s">
        <v>26</v>
      </c>
      <c r="C5" s="171">
        <v>2023</v>
      </c>
      <c r="D5" s="171">
        <v>2024</v>
      </c>
      <c r="E5" s="171">
        <v>2025</v>
      </c>
      <c r="F5" s="171">
        <v>2026</v>
      </c>
      <c r="G5" s="171" t="s">
        <v>151</v>
      </c>
      <c r="H5" s="171">
        <v>2027</v>
      </c>
      <c r="I5" s="171">
        <v>2028</v>
      </c>
      <c r="J5" s="171">
        <v>2029</v>
      </c>
      <c r="K5" s="171">
        <v>2030</v>
      </c>
      <c r="L5" s="171">
        <v>2031</v>
      </c>
      <c r="M5" s="171">
        <v>2032</v>
      </c>
      <c r="N5" s="171">
        <v>2033</v>
      </c>
      <c r="O5" s="171">
        <v>2034</v>
      </c>
      <c r="P5" s="171">
        <v>2035</v>
      </c>
      <c r="Q5" s="171">
        <v>2036</v>
      </c>
      <c r="R5" s="171">
        <v>2037</v>
      </c>
      <c r="S5" s="171">
        <v>2038</v>
      </c>
      <c r="T5" s="171">
        <v>2039</v>
      </c>
      <c r="U5" s="171">
        <v>2040</v>
      </c>
      <c r="V5" s="171">
        <v>2041</v>
      </c>
      <c r="W5" s="171">
        <v>2042</v>
      </c>
      <c r="X5" s="171">
        <v>2043</v>
      </c>
      <c r="Y5" s="171">
        <v>2044</v>
      </c>
      <c r="Z5" s="171">
        <v>2045</v>
      </c>
    </row>
    <row r="6" spans="1:27">
      <c r="A6" s="1101"/>
      <c r="B6" s="1092"/>
      <c r="C6" s="172">
        <v>0.05</v>
      </c>
      <c r="D6" s="172">
        <v>0.25</v>
      </c>
      <c r="E6" s="172">
        <v>0.35</v>
      </c>
      <c r="F6" s="172">
        <v>0.35</v>
      </c>
      <c r="G6" s="172"/>
      <c r="H6" s="174"/>
      <c r="I6" s="174"/>
      <c r="J6" s="174"/>
      <c r="K6" s="174"/>
      <c r="L6" s="174"/>
      <c r="M6" s="174"/>
      <c r="N6" s="175"/>
      <c r="O6" s="174"/>
      <c r="P6" s="175"/>
      <c r="Q6" s="174"/>
      <c r="R6" s="176"/>
      <c r="S6" s="176"/>
      <c r="T6" s="176"/>
      <c r="U6" s="176"/>
      <c r="V6" s="176"/>
      <c r="W6" s="176"/>
      <c r="X6" s="176"/>
      <c r="Y6" s="176"/>
      <c r="Z6" s="176"/>
    </row>
    <row r="7" spans="1:27" ht="19.5" customHeight="1">
      <c r="A7" s="1094" t="s">
        <v>243</v>
      </c>
      <c r="B7" s="1095"/>
      <c r="C7" s="1095"/>
      <c r="D7" s="1095"/>
      <c r="E7" s="1095"/>
      <c r="F7" s="1095"/>
      <c r="G7" s="1095"/>
      <c r="H7" s="177"/>
      <c r="I7" s="177"/>
      <c r="J7" s="177"/>
      <c r="K7" s="177"/>
      <c r="L7" s="177"/>
      <c r="M7" s="177"/>
      <c r="N7" s="178"/>
      <c r="O7" s="177"/>
      <c r="P7" s="178"/>
      <c r="Q7" s="177"/>
      <c r="R7" s="179"/>
      <c r="S7" s="179"/>
      <c r="T7" s="179"/>
      <c r="U7" s="179"/>
      <c r="V7" s="179"/>
      <c r="W7" s="179"/>
      <c r="X7" s="179"/>
      <c r="Y7" s="179"/>
      <c r="Z7" s="179"/>
    </row>
    <row r="8" spans="1:27" ht="21.75" customHeight="1">
      <c r="A8" s="180">
        <v>1</v>
      </c>
      <c r="B8" s="181" t="s">
        <v>241</v>
      </c>
      <c r="C8" s="182">
        <f>ROUND($G8*C$6,2)</f>
        <v>221.38</v>
      </c>
      <c r="D8" s="182">
        <f>ROUND($G8*D$6,2)</f>
        <v>1106.8800000000001</v>
      </c>
      <c r="E8" s="182">
        <f>ROUND($G8*E$6,2)</f>
        <v>1549.63</v>
      </c>
      <c r="F8" s="182">
        <f>ROUND($G8*F$6,2)</f>
        <v>1549.63</v>
      </c>
      <c r="G8" s="339">
        <f>Capex!L21</f>
        <v>4427.5</v>
      </c>
      <c r="H8" s="183"/>
      <c r="I8" s="184"/>
      <c r="J8" s="183"/>
      <c r="K8" s="183"/>
      <c r="L8" s="183"/>
      <c r="M8" s="183"/>
      <c r="N8" s="185"/>
      <c r="O8" s="183"/>
      <c r="P8" s="183"/>
      <c r="Q8" s="183"/>
      <c r="R8" s="186"/>
      <c r="S8" s="186"/>
      <c r="T8" s="186"/>
      <c r="U8" s="186"/>
      <c r="V8" s="186"/>
      <c r="W8" s="186"/>
      <c r="X8" s="186"/>
      <c r="Y8" s="186"/>
      <c r="Z8" s="186"/>
    </row>
    <row r="9" spans="1:27" s="167" customFormat="1" ht="25.5" customHeight="1">
      <c r="A9" s="187"/>
      <c r="B9" s="188" t="s">
        <v>242</v>
      </c>
      <c r="C9" s="189">
        <f>SUM(C8:C8)</f>
        <v>221.38</v>
      </c>
      <c r="D9" s="189">
        <f>SUM(D8:D8)</f>
        <v>1106.8800000000001</v>
      </c>
      <c r="E9" s="189">
        <f>SUM(E8:E8)</f>
        <v>1549.63</v>
      </c>
      <c r="F9" s="189">
        <f>SUM(F8:F8)</f>
        <v>1549.63</v>
      </c>
      <c r="G9" s="242">
        <f>-G8</f>
        <v>-4427.5</v>
      </c>
      <c r="H9" s="243"/>
      <c r="I9" s="191"/>
      <c r="J9" s="191"/>
      <c r="K9" s="191"/>
      <c r="L9" s="191"/>
      <c r="M9" s="191"/>
      <c r="N9" s="192"/>
      <c r="O9" s="192"/>
      <c r="P9" s="192"/>
      <c r="Q9" s="192"/>
      <c r="R9" s="193"/>
      <c r="S9" s="193"/>
      <c r="T9" s="193"/>
      <c r="U9" s="193"/>
      <c r="V9" s="193"/>
      <c r="W9" s="193"/>
      <c r="X9" s="193"/>
      <c r="Y9" s="193"/>
      <c r="Z9" s="193"/>
    </row>
    <row r="10" spans="1:27">
      <c r="A10" s="194">
        <v>2</v>
      </c>
      <c r="B10" s="195" t="s">
        <v>27</v>
      </c>
      <c r="C10" s="195"/>
      <c r="D10" s="195"/>
      <c r="E10" s="195"/>
      <c r="F10" s="195"/>
      <c r="G10" s="196"/>
      <c r="H10" s="197">
        <f>H11</f>
        <v>2616.2328208333329</v>
      </c>
      <c r="I10" s="197">
        <f t="shared" ref="I10:Z10" si="0">I11</f>
        <v>3557.276816585249</v>
      </c>
      <c r="J10" s="197">
        <f t="shared" si="0"/>
        <v>4179.958360679515</v>
      </c>
      <c r="K10" s="197">
        <f t="shared" si="0"/>
        <v>4420.4731647530152</v>
      </c>
      <c r="L10" s="197">
        <f t="shared" si="0"/>
        <v>4674.8271906529017</v>
      </c>
      <c r="M10" s="197">
        <f t="shared" si="0"/>
        <v>4943.81674720307</v>
      </c>
      <c r="N10" s="197">
        <f t="shared" si="0"/>
        <v>5228.2839628371339</v>
      </c>
      <c r="O10" s="197">
        <f t="shared" si="0"/>
        <v>5529.1194220587822</v>
      </c>
      <c r="P10" s="197">
        <f t="shared" si="0"/>
        <v>5847.2649536040435</v>
      </c>
      <c r="Q10" s="197">
        <f t="shared" si="0"/>
        <v>6183.7165790344188</v>
      </c>
      <c r="R10" s="197">
        <f t="shared" si="0"/>
        <v>6539.5276309920573</v>
      </c>
      <c r="S10" s="197">
        <f t="shared" si="0"/>
        <v>6915.8120508793418</v>
      </c>
      <c r="T10" s="197">
        <f t="shared" si="0"/>
        <v>7313.7478762869378</v>
      </c>
      <c r="U10" s="197">
        <f t="shared" si="0"/>
        <v>7734.5809290884881</v>
      </c>
      <c r="V10" s="197">
        <f t="shared" si="0"/>
        <v>8179.6287157482375</v>
      </c>
      <c r="W10" s="197">
        <f t="shared" si="0"/>
        <v>8650.2845520523933</v>
      </c>
      <c r="X10" s="197">
        <f t="shared" si="0"/>
        <v>9148.0219251774852</v>
      </c>
      <c r="Y10" s="197">
        <f t="shared" si="0"/>
        <v>9674.3991067521965</v>
      </c>
      <c r="Z10" s="197">
        <f t="shared" si="0"/>
        <v>10231.064031354716</v>
      </c>
    </row>
    <row r="11" spans="1:27" s="167" customFormat="1">
      <c r="A11" s="52"/>
      <c r="B11" s="162" t="s">
        <v>87</v>
      </c>
      <c r="C11" s="162"/>
      <c r="D11" s="162"/>
      <c r="E11" s="162"/>
      <c r="F11" s="162"/>
      <c r="G11" s="198">
        <v>1</v>
      </c>
      <c r="H11" s="199">
        <f>IF(H$2&lt;=$C$54,0,Sales!E9*H$3*(1+$C$53)^(H$2-$C$54-1))</f>
        <v>2616.2328208333329</v>
      </c>
      <c r="I11" s="199">
        <f>IF(I$2&lt;=$C$54,0,Sales!F9*I$3*(1+$C$53)^(I$2-$C$54-1))</f>
        <v>3557.276816585249</v>
      </c>
      <c r="J11" s="199">
        <f>IF(J$2&lt;=$C$54,0,Sales!G9*J$3*(1+$C$53)^(J$2-$C$54-1))</f>
        <v>4179.958360679515</v>
      </c>
      <c r="K11" s="199">
        <f>IF(K$2&lt;=$C$54,0,Sales!H9*K$3*(1+$C$53)^(K$2-$C$54-1))</f>
        <v>4420.4731647530152</v>
      </c>
      <c r="L11" s="199">
        <f>IF(L$2&lt;=$C$54,0,Sales!I9*L$3*(1+$C$53)^(L$2-$C$54-1))</f>
        <v>4674.8271906529017</v>
      </c>
      <c r="M11" s="199">
        <f>IF(M$2&lt;=$C$54,0,Sales!J9*M$3*(1+$C$53)^(M$2-$C$54-1))</f>
        <v>4943.81674720307</v>
      </c>
      <c r="N11" s="199">
        <f>IF(N$2&lt;=$C$54,0,Sales!K9*N$3*(1+$C$53)^(N$2-$C$54-1))</f>
        <v>5228.2839628371339</v>
      </c>
      <c r="O11" s="199">
        <f>IF(O$2&lt;=$C$54,0,Sales!L9*O$3*(1+$C$53)^(O$2-$C$54-1))</f>
        <v>5529.1194220587822</v>
      </c>
      <c r="P11" s="199">
        <f>IF(P$2&lt;=$C$54,0,Sales!M9*P$3*(1+$C$53)^(P$2-$C$54-1))</f>
        <v>5847.2649536040435</v>
      </c>
      <c r="Q11" s="199">
        <f>IF(Q$2&lt;=$C$54,0,Sales!N9*Q$3*(1+$C$53)^(Q$2-$C$54-1))</f>
        <v>6183.7165790344188</v>
      </c>
      <c r="R11" s="199">
        <f>IF(R$2&lt;=$C$54,0,Sales!O9*R$3*(1+$C$53)^(R$2-$C$54-1))</f>
        <v>6539.5276309920573</v>
      </c>
      <c r="S11" s="199">
        <f>IF(S$2&lt;=$C$54,0,Sales!P9*S$3*(1+$C$53)^(S$2-$C$54-1))</f>
        <v>6915.8120508793418</v>
      </c>
      <c r="T11" s="199">
        <f>IF(T$2&lt;=$C$54,0,Sales!Q9*T$3*(1+$C$53)^(T$2-$C$54-1))</f>
        <v>7313.7478762869378</v>
      </c>
      <c r="U11" s="199">
        <f>IF(U$2&lt;=$C$54,0,Sales!R9*U$3*(1+$C$53)^(U$2-$C$54-1))</f>
        <v>7734.5809290884881</v>
      </c>
      <c r="V11" s="199">
        <f>IF(V$2&lt;=$C$54,0,Sales!S9*V$3*(1+$C$53)^(V$2-$C$54-1))</f>
        <v>8179.6287157482375</v>
      </c>
      <c r="W11" s="199">
        <f>IF(W$2&lt;=$C$54,0,Sales!T9*W$3*(1+$C$53)^(W$2-$C$54-1))</f>
        <v>8650.2845520523933</v>
      </c>
      <c r="X11" s="199">
        <f>IF(X$2&lt;=$C$54,0,Sales!U9*X$3*(1+$C$53)^(X$2-$C$54-1))</f>
        <v>9148.0219251774852</v>
      </c>
      <c r="Y11" s="199">
        <f>IF(Y$2&lt;=$C$54,0,Sales!V9*Y$3*(1+$C$53)^(Y$2-$C$54-1))</f>
        <v>9674.3991067521965</v>
      </c>
      <c r="Z11" s="199">
        <f>IF(Z$2&lt;=$C$54,0,Sales!W9*Z$3*(1+$C$53)^(Z$2-$C$54-1))</f>
        <v>10231.064031354716</v>
      </c>
    </row>
    <row r="12" spans="1:27">
      <c r="A12" s="52"/>
      <c r="B12" s="17"/>
      <c r="C12" s="17"/>
      <c r="D12" s="17"/>
      <c r="E12" s="17"/>
      <c r="F12" s="17"/>
      <c r="G12" s="201"/>
      <c r="H12" s="199"/>
      <c r="I12" s="199"/>
      <c r="J12" s="199"/>
      <c r="K12" s="199"/>
      <c r="L12" s="199"/>
      <c r="M12" s="199"/>
      <c r="N12" s="199"/>
      <c r="O12" s="199"/>
      <c r="P12" s="199"/>
      <c r="Q12" s="199"/>
    </row>
    <row r="13" spans="1:27">
      <c r="A13" s="194">
        <v>3</v>
      </c>
      <c r="B13" s="195" t="s">
        <v>107</v>
      </c>
      <c r="C13" s="195"/>
      <c r="D13" s="195"/>
      <c r="E13" s="195"/>
      <c r="F13" s="195"/>
      <c r="G13" s="207"/>
      <c r="H13" s="183"/>
      <c r="I13" s="183"/>
      <c r="J13" s="183"/>
      <c r="K13" s="183"/>
      <c r="L13" s="183"/>
      <c r="M13" s="183"/>
      <c r="N13" s="183"/>
      <c r="O13" s="183"/>
      <c r="P13" s="183"/>
      <c r="Q13" s="183"/>
      <c r="R13" s="186"/>
      <c r="S13" s="186"/>
      <c r="T13" s="186"/>
      <c r="U13" s="186"/>
      <c r="V13" s="186"/>
      <c r="W13" s="186"/>
      <c r="X13" s="186"/>
      <c r="Y13" s="186"/>
      <c r="Z13" s="186"/>
    </row>
    <row r="14" spans="1:27">
      <c r="A14" s="52"/>
      <c r="B14" s="17" t="s">
        <v>495</v>
      </c>
      <c r="C14" s="17"/>
      <c r="D14" s="17"/>
      <c r="E14" s="17"/>
      <c r="F14" s="17"/>
      <c r="G14" s="208">
        <f>J14/$J$19</f>
        <v>0.88155392243603548</v>
      </c>
      <c r="H14" s="199">
        <f>IF(H$2&lt;=$C$54,0,'Opex PVC'!E45*H$3*(1+$C$53)^(H$2-$C$54-1))</f>
        <v>1770.1775069999999</v>
      </c>
      <c r="I14" s="199">
        <f>IF(I$2&lt;=$C$54,0,'Opex PVC'!F45*I$3*(1+$C$53)^(I$2-$C$54-1))</f>
        <v>2409.2686974210033</v>
      </c>
      <c r="J14" s="199">
        <f>IF(J$2&lt;=$C$54,0,'Opex PVC'!G45*J$3*(1+$C$53)^(J$2-$C$54-1))</f>
        <v>2831.5693649714735</v>
      </c>
      <c r="K14" s="199">
        <f>IF(K$2&lt;=$C$54,0,'Opex PVC'!H45*K$3*(1+$C$53)^(K$2-$C$54-1))</f>
        <v>2996.2732602237697</v>
      </c>
      <c r="L14" s="199">
        <f>IF(L$2&lt;=$C$54,0,'Opex PVC'!I45*L$3*(1+$C$53)^(L$2-$C$54-1))</f>
        <v>3170.5574869512047</v>
      </c>
      <c r="M14" s="199">
        <f>IF(M$2&lt;=$C$54,0,'Opex PVC'!J45*M$3*(1+$C$53)^(M$2-$C$54-1))</f>
        <v>3354.9793042946953</v>
      </c>
      <c r="N14" s="199">
        <f>IF(N$2&lt;=$C$54,0,'Opex PVC'!K45*N$3*(1+$C$53)^(N$2-$C$54-1))</f>
        <v>3550.1283854876037</v>
      </c>
      <c r="O14" s="199">
        <f>IF(O$2&lt;=$C$54,0,'Opex PVC'!L45*O$3*(1+$C$53)^(O$2-$C$54-1))</f>
        <v>3756.6287032862615</v>
      </c>
      <c r="P14" s="199">
        <f>IF(P$2&lt;=$C$54,0,'Opex PVC'!M45*P$3*(1+$C$53)^(P$2-$C$54-1))</f>
        <v>3975.1405250703124</v>
      </c>
      <c r="Q14" s="199">
        <f>IF(Q$2&lt;=$C$54,0,'Opex PVC'!N45*Q$3*(1+$C$53)^(Q$2-$C$54-1))</f>
        <v>4206.3625239920766</v>
      </c>
      <c r="R14" s="199">
        <f>IF(R$2&lt;=$C$54,0,'Opex PVC'!O45*R$3*(1+$C$53)^(R$2-$C$54-1))</f>
        <v>4451.0340129251226</v>
      </c>
      <c r="S14" s="199">
        <f>IF(S$2&lt;=$C$54,0,'Opex PVC'!P45*S$3*(1+$C$53)^(S$2-$C$54-1))</f>
        <v>4709.937308354939</v>
      </c>
      <c r="T14" s="199">
        <f>IF(T$2&lt;=$C$54,0,'Opex PVC'!Q45*T$3*(1+$C$53)^(T$2-$C$54-1))</f>
        <v>4983.9002317700197</v>
      </c>
      <c r="U14" s="199">
        <f>IF(U$2&lt;=$C$54,0,'Opex PVC'!R45*U$3*(1+$C$53)^(U$2-$C$54-1))</f>
        <v>5273.7987565513868</v>
      </c>
      <c r="V14" s="199">
        <f>IF(V$2&lt;=$C$54,0,'Opex PVC'!S45*V$3*(1+$C$53)^(V$2-$C$54-1))</f>
        <v>5580.5598088237093</v>
      </c>
      <c r="W14" s="199">
        <f>IF(W$2&lt;=$C$54,0,'Opex PVC'!T45*W$3*(1+$C$53)^(W$2-$C$54-1))</f>
        <v>5905.164231223559</v>
      </c>
      <c r="X14" s="199">
        <f>IF(X$2&lt;=$C$54,0,'Opex PVC'!U45*X$3*(1+$C$53)^(X$2-$C$54-1))</f>
        <v>6248.6499190611366</v>
      </c>
      <c r="Y14" s="199">
        <f>IF(Y$2&lt;=$C$54,0,'Opex PVC'!V45*Y$3*(1+$C$53)^(Y$2-$C$54-1))</f>
        <v>6612.1151389031656</v>
      </c>
      <c r="Z14" s="199">
        <f>IF(Z$2&lt;=$C$54,0,'Opex PVC'!W45*Z$3*(1+$C$53)^(Z$2-$C$54-1))</f>
        <v>6996.7220401877457</v>
      </c>
      <c r="AA14" s="199"/>
    </row>
    <row r="15" spans="1:27">
      <c r="A15" s="52"/>
      <c r="B15" s="17" t="s">
        <v>29</v>
      </c>
      <c r="C15" s="17"/>
      <c r="D15" s="17"/>
      <c r="E15" s="17"/>
      <c r="F15" s="17"/>
      <c r="G15" s="208">
        <f>J15/$J$19</f>
        <v>8.3295270405176168E-3</v>
      </c>
      <c r="H15" s="199">
        <f>IF(H$2&lt;=$C$54,0,'Opex PVC'!$E$49*(1+$C$53)^(H$2-$C$54-1))</f>
        <v>24.5</v>
      </c>
      <c r="I15" s="199">
        <f>IF(I$2&lt;=$C$54,0,'Opex PVC'!$E$49*(1+$C$53)^(I$2-$C$54-1))</f>
        <v>25.602499999999999</v>
      </c>
      <c r="J15" s="199">
        <f>IF(J$2&lt;=$C$54,0,'Opex PVC'!$E$49*(1+$C$53)^(J$2-$C$54-1))</f>
        <v>26.754612499999997</v>
      </c>
      <c r="K15" s="199">
        <f>IF(K$2&lt;=$C$54,0,'Opex PVC'!$E$49*(1+$C$53)^(K$2-$C$54-1))</f>
        <v>27.958570062499994</v>
      </c>
      <c r="L15" s="199">
        <f>IF(L$2&lt;=$C$54,0,'Opex PVC'!$E$49*(1+$C$53)^(L$2-$C$54-1))</f>
        <v>29.216705715312486</v>
      </c>
      <c r="M15" s="199">
        <f>IF(M$2&lt;=$C$54,0,'Opex PVC'!$E$49*(1+$C$53)^(M$2-$C$54-1))</f>
        <v>30.53145747250155</v>
      </c>
      <c r="N15" s="199">
        <f>IF(N$2&lt;=$C$54,0,'Opex PVC'!$E$49*(1+$C$53)^(N$2-$C$54-1))</f>
        <v>31.905373058764113</v>
      </c>
      <c r="O15" s="199">
        <f>IF(O$2&lt;=$C$54,0,'Opex PVC'!$E$49*(1+$C$53)^(O$2-$C$54-1))</f>
        <v>33.341114846408502</v>
      </c>
      <c r="P15" s="199">
        <f>IF(P$2&lt;=$C$54,0,'Opex PVC'!$E$49*(1+$C$53)^(P$2-$C$54-1))</f>
        <v>34.841465014496869</v>
      </c>
      <c r="Q15" s="199">
        <f>IF(Q$2&lt;=$C$54,0,'Opex PVC'!$E$49*(1+$C$53)^(Q$2-$C$54-1))</f>
        <v>36.409330940149225</v>
      </c>
      <c r="R15" s="199">
        <f>IF(R$2&lt;=$C$54,0,'Opex PVC'!$E$49*(1+$C$53)^(R$2-$C$54-1))</f>
        <v>38.047750832455932</v>
      </c>
      <c r="S15" s="199">
        <f>IF(S$2&lt;=$C$54,0,'Opex PVC'!$E$49*(1+$C$53)^(S$2-$C$54-1))</f>
        <v>39.759899619916453</v>
      </c>
      <c r="T15" s="199">
        <f>IF(T$2&lt;=$C$54,0,'Opex PVC'!$E$49*(1+$C$53)^(T$2-$C$54-1))</f>
        <v>41.549095102812686</v>
      </c>
      <c r="U15" s="199">
        <f>IF(U$2&lt;=$C$54,0,'Opex PVC'!$E$49*(1+$C$53)^(U$2-$C$54-1))</f>
        <v>43.418804382439255</v>
      </c>
      <c r="V15" s="199">
        <f>IF(V$2&lt;=$C$54,0,'Opex PVC'!$E$49*(1+$C$53)^(V$2-$C$54-1))</f>
        <v>45.372650579649012</v>
      </c>
      <c r="W15" s="199">
        <f>IF(W$2&lt;=$C$54,0,'Opex PVC'!$E$49*(1+$C$53)^(W$2-$C$54-1))</f>
        <v>47.414419855733222</v>
      </c>
      <c r="X15" s="199">
        <f>IF(X$2&lt;=$C$54,0,'Opex PVC'!$E$49*(1+$C$53)^(X$2-$C$54-1))</f>
        <v>49.548068749241196</v>
      </c>
      <c r="Y15" s="199">
        <f>IF(Y$2&lt;=$C$54,0,'Opex PVC'!$E$49*(1+$C$53)^(Y$2-$C$54-1))</f>
        <v>51.777731842957053</v>
      </c>
      <c r="Z15" s="199">
        <f>IF(Z$2&lt;=$C$54,0,'Opex PVC'!$E$49*(1+$C$53)^(Z$2-$C$54-1))</f>
        <v>54.107729775890107</v>
      </c>
      <c r="AA15" s="199"/>
    </row>
    <row r="16" spans="1:27">
      <c r="A16" s="52"/>
      <c r="B16" s="17" t="s">
        <v>17</v>
      </c>
      <c r="C16" s="17"/>
      <c r="D16" s="17"/>
      <c r="E16" s="17"/>
      <c r="F16" s="17"/>
      <c r="G16" s="208">
        <f>J16/$J$19</f>
        <v>4.8855225947852299E-2</v>
      </c>
      <c r="H16" s="199">
        <f>IF(H$2&lt;=$C$54,0,'Opex PVC'!$E$51*(1+$C$53)^(H$2-$C$54-1))</f>
        <v>143.69999999999999</v>
      </c>
      <c r="I16" s="199">
        <f>IF(I$2&lt;=$C$54,0,'Opex PVC'!$E$51*(1+$C$53)^(I$2-$C$54-1))</f>
        <v>150.16649999999998</v>
      </c>
      <c r="J16" s="199">
        <f>IF(J$2&lt;=$C$54,0,'Opex PVC'!$E$51*(1+$C$53)^(J$2-$C$54-1))</f>
        <v>156.92399249999997</v>
      </c>
      <c r="K16" s="199">
        <f>IF(K$2&lt;=$C$54,0,'Opex PVC'!$E$51*(1+$C$53)^(K$2-$C$54-1))</f>
        <v>163.98557216249995</v>
      </c>
      <c r="L16" s="199">
        <f>IF(L$2&lt;=$C$54,0,'Opex PVC'!$E$51*(1+$C$53)^(L$2-$C$54-1))</f>
        <v>171.36492290981241</v>
      </c>
      <c r="M16" s="199">
        <f>IF(M$2&lt;=$C$54,0,'Opex PVC'!$E$51*(1+$C$53)^(M$2-$C$54-1))</f>
        <v>179.07634444075399</v>
      </c>
      <c r="N16" s="199">
        <f>IF(N$2&lt;=$C$54,0,'Opex PVC'!$E$51*(1+$C$53)^(N$2-$C$54-1))</f>
        <v>187.13477994058786</v>
      </c>
      <c r="O16" s="199">
        <f>IF(O$2&lt;=$C$54,0,'Opex PVC'!$E$51*(1+$C$53)^(O$2-$C$54-1))</f>
        <v>195.55584503791431</v>
      </c>
      <c r="P16" s="199">
        <f>IF(P$2&lt;=$C$54,0,'Opex PVC'!$E$51*(1+$C$53)^(P$2-$C$54-1))</f>
        <v>204.35585806462041</v>
      </c>
      <c r="Q16" s="199">
        <f>IF(Q$2&lt;=$C$54,0,'Opex PVC'!$E$51*(1+$C$53)^(Q$2-$C$54-1))</f>
        <v>213.55187167752831</v>
      </c>
      <c r="R16" s="199">
        <f>IF(R$2&lt;=$C$54,0,'Opex PVC'!$E$51*(1+$C$53)^(R$2-$C$54-1))</f>
        <v>223.16170590301704</v>
      </c>
      <c r="S16" s="199">
        <f>IF(S$2&lt;=$C$54,0,'Opex PVC'!$E$51*(1+$C$53)^(S$2-$C$54-1))</f>
        <v>233.2039826686528</v>
      </c>
      <c r="T16" s="199">
        <f>IF(T$2&lt;=$C$54,0,'Opex PVC'!$E$51*(1+$C$53)^(T$2-$C$54-1))</f>
        <v>243.69816188874213</v>
      </c>
      <c r="U16" s="199">
        <f>IF(U$2&lt;=$C$54,0,'Opex PVC'!$E$51*(1+$C$53)^(U$2-$C$54-1))</f>
        <v>254.66457917373555</v>
      </c>
      <c r="V16" s="199">
        <f>IF(V$2&lt;=$C$54,0,'Opex PVC'!$E$51*(1+$C$53)^(V$2-$C$54-1))</f>
        <v>266.1244852365536</v>
      </c>
      <c r="W16" s="199">
        <f>IF(W$2&lt;=$C$54,0,'Opex PVC'!$E$51*(1+$C$53)^(W$2-$C$54-1))</f>
        <v>278.10008707219851</v>
      </c>
      <c r="X16" s="199">
        <f>IF(X$2&lt;=$C$54,0,'Opex PVC'!$E$51*(1+$C$53)^(X$2-$C$54-1))</f>
        <v>290.61459099044731</v>
      </c>
      <c r="Y16" s="199">
        <f>IF(Y$2&lt;=$C$54,0,'Opex PVC'!$E$51*(1+$C$53)^(Y$2-$C$54-1))</f>
        <v>303.69224758501747</v>
      </c>
      <c r="Z16" s="199">
        <f>IF(Z$2&lt;=$C$54,0,'Opex PVC'!$E$51*(1+$C$53)^(Z$2-$C$54-1))</f>
        <v>317.35839872634318</v>
      </c>
    </row>
    <row r="17" spans="1:26" s="167" customFormat="1">
      <c r="A17" s="52"/>
      <c r="B17" s="17" t="s">
        <v>20</v>
      </c>
      <c r="C17" s="17"/>
      <c r="D17" s="17"/>
      <c r="E17" s="17"/>
      <c r="F17" s="17"/>
      <c r="G17" s="208">
        <f>J17/$J$19</f>
        <v>2.4897105065661448E-2</v>
      </c>
      <c r="H17" s="199">
        <f>IF(H$2&lt;=$C$54,0,'Opex PVC'!$E$54*(1+$C$53)^(H$2-$C$54-1))</f>
        <v>73.230937499999996</v>
      </c>
      <c r="I17" s="199">
        <f>IF(I$2&lt;=$C$54,0,'Opex PVC'!$E$54*(1+$C$53)^(I$2-$C$54-1))</f>
        <v>76.526329687499995</v>
      </c>
      <c r="J17" s="199">
        <f>IF(J$2&lt;=$C$54,0,'Opex PVC'!$E$54*(1+$C$53)^(J$2-$C$54-1))</f>
        <v>79.970014523437484</v>
      </c>
      <c r="K17" s="199">
        <f>IF(K$2&lt;=$C$54,0,'Opex PVC'!$E$54*(1+$C$53)^(K$2-$C$54-1))</f>
        <v>83.56866517699217</v>
      </c>
      <c r="L17" s="199">
        <f>IF(L$2&lt;=$C$54,0,'Opex PVC'!$E$54*(1+$C$53)^(L$2-$C$54-1))</f>
        <v>87.32925510995679</v>
      </c>
      <c r="M17" s="199">
        <f>IF(M$2&lt;=$C$54,0,'Opex PVC'!$E$54*(1+$C$53)^(M$2-$C$54-1))</f>
        <v>91.259071589904849</v>
      </c>
      <c r="N17" s="199">
        <f>IF(N$2&lt;=$C$54,0,'Opex PVC'!$E$54*(1+$C$53)^(N$2-$C$54-1))</f>
        <v>95.365729811450549</v>
      </c>
      <c r="O17" s="199">
        <f>IF(O$2&lt;=$C$54,0,'Opex PVC'!$E$54*(1+$C$53)^(O$2-$C$54-1))</f>
        <v>99.657187652965831</v>
      </c>
      <c r="P17" s="199">
        <f>IF(P$2&lt;=$C$54,0,'Opex PVC'!$E$54*(1+$C$53)^(P$2-$C$54-1))</f>
        <v>104.14176109734926</v>
      </c>
      <c r="Q17" s="199">
        <f>IF(Q$2&lt;=$C$54,0,'Opex PVC'!$E$54*(1+$C$53)^(Q$2-$C$54-1))</f>
        <v>108.82814034672997</v>
      </c>
      <c r="R17" s="199">
        <f>IF(R$2&lt;=$C$54,0,'Opex PVC'!$E$54*(1+$C$53)^(R$2-$C$54-1))</f>
        <v>113.72540666233279</v>
      </c>
      <c r="S17" s="199">
        <f>IF(S$2&lt;=$C$54,0,'Opex PVC'!$E$54*(1+$C$53)^(S$2-$C$54-1))</f>
        <v>118.84304996213777</v>
      </c>
      <c r="T17" s="199">
        <f>IF(T$2&lt;=$C$54,0,'Opex PVC'!$E$54*(1+$C$53)^(T$2-$C$54-1))</f>
        <v>124.19098721043395</v>
      </c>
      <c r="U17" s="199">
        <f>IF(U$2&lt;=$C$54,0,'Opex PVC'!$E$54*(1+$C$53)^(U$2-$C$54-1))</f>
        <v>129.77958163490348</v>
      </c>
      <c r="V17" s="199">
        <f>IF(V$2&lt;=$C$54,0,'Opex PVC'!$E$54*(1+$C$53)^(V$2-$C$54-1))</f>
        <v>135.61966280847409</v>
      </c>
      <c r="W17" s="199">
        <f>IF(W$2&lt;=$C$54,0,'Opex PVC'!$E$54*(1+$C$53)^(W$2-$C$54-1))</f>
        <v>141.72254763485546</v>
      </c>
      <c r="X17" s="199">
        <f>IF(X$2&lt;=$C$54,0,'Opex PVC'!$E$54*(1+$C$53)^(X$2-$C$54-1))</f>
        <v>148.10006227842388</v>
      </c>
      <c r="Y17" s="199">
        <f>IF(Y$2&lt;=$C$54,0,'Opex PVC'!$E$54*(1+$C$53)^(Y$2-$C$54-1))</f>
        <v>154.76456508095296</v>
      </c>
      <c r="Z17" s="199">
        <f>IF(Z$2&lt;=$C$54,0,'Opex PVC'!$E$54*(1+$C$53)^(Z$2-$C$54-1))</f>
        <v>161.7289705095958</v>
      </c>
    </row>
    <row r="18" spans="1:26">
      <c r="A18" s="52"/>
      <c r="B18" s="17" t="s">
        <v>21</v>
      </c>
      <c r="C18" s="17"/>
      <c r="D18" s="17"/>
      <c r="E18" s="17"/>
      <c r="F18" s="17"/>
      <c r="G18" s="208">
        <f>J18/$J$19</f>
        <v>3.6364219509933189E-2</v>
      </c>
      <c r="H18" s="199">
        <f>IF(H$2&lt;=$C$54,0,'Opex PVC'!$E$57*(1+$C$53)^(H$2-$C$54-1))</f>
        <v>106.95965973333332</v>
      </c>
      <c r="I18" s="199">
        <f>IF(I$2&lt;=$C$54,0,'Opex PVC'!$E$57*(1+$C$53)^(I$2-$C$54-1))</f>
        <v>111.77284442133332</v>
      </c>
      <c r="J18" s="199">
        <f>IF(J$2&lt;=$C$54,0,'Opex PVC'!$E$57*(1+$C$53)^(J$2-$C$54-1))</f>
        <v>116.8026224202933</v>
      </c>
      <c r="K18" s="199">
        <f>IF(K$2&lt;=$C$54,0,'Opex PVC'!$E$57*(1+$C$53)^(K$2-$C$54-1))</f>
        <v>122.05874042920651</v>
      </c>
      <c r="L18" s="199">
        <f>IF(L$2&lt;=$C$54,0,'Opex PVC'!$E$57*(1+$C$53)^(L$2-$C$54-1))</f>
        <v>127.55138374852076</v>
      </c>
      <c r="M18" s="199">
        <f>IF(M$2&lt;=$C$54,0,'Opex PVC'!$E$57*(1+$C$53)^(M$2-$C$54-1))</f>
        <v>133.29119601720419</v>
      </c>
      <c r="N18" s="199">
        <f>IF(N$2&lt;=$C$54,0,'Opex PVC'!$E$57*(1+$C$53)^(N$2-$C$54-1))</f>
        <v>139.28929983797835</v>
      </c>
      <c r="O18" s="199">
        <f>IF(O$2&lt;=$C$54,0,'Opex PVC'!$E$57*(1+$C$53)^(O$2-$C$54-1))</f>
        <v>145.55731833068739</v>
      </c>
      <c r="P18" s="199">
        <f>IF(P$2&lt;=$C$54,0,'Opex PVC'!$E$57*(1+$C$53)^(P$2-$C$54-1))</f>
        <v>152.10739765556826</v>
      </c>
      <c r="Q18" s="199">
        <f>IF(Q$2&lt;=$C$54,0,'Opex PVC'!$E$57*(1+$C$53)^(Q$2-$C$54-1))</f>
        <v>158.95223055006883</v>
      </c>
      <c r="R18" s="199">
        <f>IF(R$2&lt;=$C$54,0,'Opex PVC'!$E$57*(1+$C$53)^(R$2-$C$54-1))</f>
        <v>166.10508092482189</v>
      </c>
      <c r="S18" s="199">
        <f>IF(S$2&lt;=$C$54,0,'Opex PVC'!$E$57*(1+$C$53)^(S$2-$C$54-1))</f>
        <v>173.57980956643888</v>
      </c>
      <c r="T18" s="199">
        <f>IF(T$2&lt;=$C$54,0,'Opex PVC'!$E$57*(1+$C$53)^(T$2-$C$54-1))</f>
        <v>181.39090099692859</v>
      </c>
      <c r="U18" s="199">
        <f>IF(U$2&lt;=$C$54,0,'Opex PVC'!$E$57*(1+$C$53)^(U$2-$C$54-1))</f>
        <v>189.55349154179041</v>
      </c>
      <c r="V18" s="199">
        <f>IF(V$2&lt;=$C$54,0,'Opex PVC'!$E$57*(1+$C$53)^(V$2-$C$54-1))</f>
        <v>198.08339866117092</v>
      </c>
      <c r="W18" s="199">
        <f>IF(W$2&lt;=$C$54,0,'Opex PVC'!$E$57*(1+$C$53)^(W$2-$C$54-1))</f>
        <v>206.99715160092362</v>
      </c>
      <c r="X18" s="199">
        <f>IF(X$2&lt;=$C$54,0,'Opex PVC'!$E$57*(1+$C$53)^(X$2-$C$54-1))</f>
        <v>216.3120234229651</v>
      </c>
      <c r="Y18" s="199">
        <f>IF(Y$2&lt;=$C$54,0,'Opex PVC'!$E$57*(1+$C$53)^(Y$2-$C$54-1))</f>
        <v>226.04606447699854</v>
      </c>
      <c r="Z18" s="199">
        <f>IF(Z$2&lt;=$C$54,0,'Opex PVC'!$E$57*(1+$C$53)^(Z$2-$C$54-1))</f>
        <v>236.21813737846341</v>
      </c>
    </row>
    <row r="19" spans="1:26" s="167" customFormat="1">
      <c r="A19" s="187"/>
      <c r="B19" s="209" t="s">
        <v>30</v>
      </c>
      <c r="C19" s="209"/>
      <c r="D19" s="209"/>
      <c r="E19" s="209"/>
      <c r="F19" s="209"/>
      <c r="G19" s="210"/>
      <c r="H19" s="192">
        <f t="shared" ref="H19:Z19" si="1">SUM(H14:H18)</f>
        <v>2118.5681042333331</v>
      </c>
      <c r="I19" s="192">
        <f t="shared" si="1"/>
        <v>2773.3368715298366</v>
      </c>
      <c r="J19" s="192">
        <f t="shared" si="1"/>
        <v>3212.0206069152041</v>
      </c>
      <c r="K19" s="192">
        <f t="shared" si="1"/>
        <v>3393.8448080549679</v>
      </c>
      <c r="L19" s="192">
        <f t="shared" si="1"/>
        <v>3586.0197544348071</v>
      </c>
      <c r="M19" s="192">
        <f t="shared" si="1"/>
        <v>3789.1373738150601</v>
      </c>
      <c r="N19" s="192">
        <f t="shared" si="1"/>
        <v>4003.8235681363849</v>
      </c>
      <c r="O19" s="192">
        <f t="shared" si="1"/>
        <v>4230.7401691542382</v>
      </c>
      <c r="P19" s="192">
        <f t="shared" si="1"/>
        <v>4470.5870069023467</v>
      </c>
      <c r="Q19" s="192">
        <f t="shared" si="1"/>
        <v>4724.1040975065534</v>
      </c>
      <c r="R19" s="192">
        <f t="shared" si="1"/>
        <v>4992.0739572477496</v>
      </c>
      <c r="S19" s="192">
        <f t="shared" si="1"/>
        <v>5275.3240501720857</v>
      </c>
      <c r="T19" s="192">
        <f t="shared" si="1"/>
        <v>5574.7293769689368</v>
      </c>
      <c r="U19" s="192">
        <f t="shared" si="1"/>
        <v>5891.2152132842557</v>
      </c>
      <c r="V19" s="192">
        <f t="shared" si="1"/>
        <v>6225.7600061095573</v>
      </c>
      <c r="W19" s="192">
        <f t="shared" si="1"/>
        <v>6579.39843738727</v>
      </c>
      <c r="X19" s="192">
        <f t="shared" si="1"/>
        <v>6953.2246645022142</v>
      </c>
      <c r="Y19" s="192">
        <f t="shared" si="1"/>
        <v>7348.3957478890916</v>
      </c>
      <c r="Z19" s="192">
        <f t="shared" si="1"/>
        <v>7766.1352765780375</v>
      </c>
    </row>
    <row r="20" spans="1:26">
      <c r="A20" s="52"/>
      <c r="B20" s="17"/>
      <c r="C20" s="17"/>
      <c r="D20" s="17"/>
      <c r="E20" s="17"/>
      <c r="F20" s="17"/>
      <c r="G20" s="201"/>
      <c r="H20" s="199"/>
      <c r="I20" s="199"/>
      <c r="J20" s="199"/>
      <c r="K20" s="199"/>
      <c r="L20" s="199"/>
      <c r="M20" s="199"/>
      <c r="N20" s="199"/>
      <c r="O20" s="199"/>
      <c r="P20" s="199"/>
      <c r="Q20" s="199"/>
    </row>
    <row r="21" spans="1:26">
      <c r="A21" s="203">
        <v>4</v>
      </c>
      <c r="B21" s="204" t="s">
        <v>396</v>
      </c>
      <c r="C21" s="204"/>
      <c r="D21" s="204"/>
      <c r="E21" s="204"/>
      <c r="F21" s="204"/>
      <c r="G21" s="205"/>
      <c r="H21" s="206">
        <f t="shared" ref="H21:Z21" si="2">H10-H19</f>
        <v>497.66471659999979</v>
      </c>
      <c r="I21" s="206">
        <f t="shared" si="2"/>
        <v>783.93994505541241</v>
      </c>
      <c r="J21" s="206">
        <f t="shared" si="2"/>
        <v>967.93775376431086</v>
      </c>
      <c r="K21" s="206">
        <f t="shared" si="2"/>
        <v>1026.6283566980474</v>
      </c>
      <c r="L21" s="206">
        <f t="shared" si="2"/>
        <v>1088.8074362180946</v>
      </c>
      <c r="M21" s="206">
        <f t="shared" si="2"/>
        <v>1154.6793733880099</v>
      </c>
      <c r="N21" s="206">
        <f t="shared" si="2"/>
        <v>1224.460394700749</v>
      </c>
      <c r="O21" s="206">
        <f t="shared" si="2"/>
        <v>1298.379252904544</v>
      </c>
      <c r="P21" s="206">
        <f t="shared" si="2"/>
        <v>1376.6779467016968</v>
      </c>
      <c r="Q21" s="206">
        <f t="shared" si="2"/>
        <v>1459.6124815278654</v>
      </c>
      <c r="R21" s="206">
        <f t="shared" si="2"/>
        <v>1547.4536737443077</v>
      </c>
      <c r="S21" s="206">
        <f t="shared" si="2"/>
        <v>1640.4880007072561</v>
      </c>
      <c r="T21" s="206">
        <f t="shared" si="2"/>
        <v>1739.018499318001</v>
      </c>
      <c r="U21" s="206">
        <f t="shared" si="2"/>
        <v>1843.3657158042324</v>
      </c>
      <c r="V21" s="206">
        <f t="shared" si="2"/>
        <v>1953.8687096386802</v>
      </c>
      <c r="W21" s="206">
        <f t="shared" si="2"/>
        <v>2070.8861146651234</v>
      </c>
      <c r="X21" s="206">
        <f t="shared" si="2"/>
        <v>2194.797260675271</v>
      </c>
      <c r="Y21" s="206">
        <f t="shared" si="2"/>
        <v>2326.0033588631049</v>
      </c>
      <c r="Z21" s="206">
        <f t="shared" si="2"/>
        <v>2464.928754776678</v>
      </c>
    </row>
    <row r="22" spans="1:26">
      <c r="A22" s="52"/>
      <c r="B22" s="17" t="s">
        <v>392</v>
      </c>
      <c r="C22" s="17"/>
      <c r="D22" s="17"/>
      <c r="E22" s="17"/>
      <c r="F22" s="17"/>
      <c r="G22" s="201"/>
      <c r="H22" s="262">
        <f t="shared" ref="H22:Z22" si="3">H21/H11</f>
        <v>0.19022187652300823</v>
      </c>
      <c r="I22" s="262">
        <f t="shared" si="3"/>
        <v>0.22037642429186691</v>
      </c>
      <c r="J22" s="262">
        <f t="shared" si="3"/>
        <v>0.23156636268667471</v>
      </c>
      <c r="K22" s="262">
        <f t="shared" si="3"/>
        <v>0.2322439970643749</v>
      </c>
      <c r="L22" s="262">
        <f t="shared" si="3"/>
        <v>0.23290859572202244</v>
      </c>
      <c r="M22" s="262">
        <f t="shared" si="3"/>
        <v>0.23356031026863239</v>
      </c>
      <c r="N22" s="262">
        <f t="shared" si="3"/>
        <v>0.23419929051372609</v>
      </c>
      <c r="O22" s="262">
        <f t="shared" si="3"/>
        <v>0.23482568448866839</v>
      </c>
      <c r="P22" s="262">
        <f t="shared" si="3"/>
        <v>0.2354396384677527</v>
      </c>
      <c r="Q22" s="262">
        <f t="shared" si="3"/>
        <v>0.2360412969890322</v>
      </c>
      <c r="R22" s="262">
        <f t="shared" si="3"/>
        <v>0.23663080287490984</v>
      </c>
      <c r="S22" s="262">
        <f t="shared" si="3"/>
        <v>0.23720829725247797</v>
      </c>
      <c r="T22" s="262">
        <f t="shared" si="3"/>
        <v>0.23777391957362226</v>
      </c>
      <c r="U22" s="262">
        <f t="shared" si="3"/>
        <v>0.23832780763488257</v>
      </c>
      <c r="V22" s="262">
        <f t="shared" si="3"/>
        <v>0.23887009759708253</v>
      </c>
      <c r="W22" s="262">
        <f t="shared" si="3"/>
        <v>0.23940092400472288</v>
      </c>
      <c r="X22" s="262">
        <f t="shared" si="3"/>
        <v>0.23992041980514697</v>
      </c>
      <c r="Y22" s="262">
        <f t="shared" si="3"/>
        <v>0.24042871636747784</v>
      </c>
      <c r="Z22" s="262">
        <f t="shared" si="3"/>
        <v>0.24092594350133217</v>
      </c>
    </row>
    <row r="23" spans="1:26">
      <c r="A23" s="52"/>
      <c r="B23" s="17" t="s">
        <v>391</v>
      </c>
      <c r="C23" s="17"/>
      <c r="D23" s="17"/>
      <c r="E23" s="17"/>
      <c r="F23" s="17"/>
      <c r="G23" s="201"/>
      <c r="H23" s="264">
        <f t="shared" ref="H23:Z23" si="4">H21/(H3*500000)*10^7</f>
        <v>14218.991902857137</v>
      </c>
      <c r="I23" s="264">
        <f t="shared" si="4"/>
        <v>17420.887667898052</v>
      </c>
      <c r="J23" s="264">
        <f t="shared" si="4"/>
        <v>19358.755075286215</v>
      </c>
      <c r="K23" s="264">
        <f t="shared" si="4"/>
        <v>20532.567133960947</v>
      </c>
      <c r="L23" s="264">
        <f t="shared" si="4"/>
        <v>21776.148724361894</v>
      </c>
      <c r="M23" s="264">
        <f t="shared" si="4"/>
        <v>23093.587467760201</v>
      </c>
      <c r="N23" s="264">
        <f t="shared" si="4"/>
        <v>24489.20789401498</v>
      </c>
      <c r="O23" s="264">
        <f t="shared" si="4"/>
        <v>25967.585058090881</v>
      </c>
      <c r="P23" s="264">
        <f t="shared" si="4"/>
        <v>27533.558934033936</v>
      </c>
      <c r="Q23" s="264">
        <f t="shared" si="4"/>
        <v>29192.249630557308</v>
      </c>
      <c r="R23" s="264">
        <f t="shared" si="4"/>
        <v>30949.073474886158</v>
      </c>
      <c r="S23" s="264">
        <f t="shared" si="4"/>
        <v>32809.760014145126</v>
      </c>
      <c r="T23" s="264">
        <f t="shared" si="4"/>
        <v>34780.36998636002</v>
      </c>
      <c r="U23" s="264">
        <f t="shared" si="4"/>
        <v>36867.314316084645</v>
      </c>
      <c r="V23" s="264">
        <f t="shared" si="4"/>
        <v>39077.374192773605</v>
      </c>
      <c r="W23" s="264">
        <f t="shared" si="4"/>
        <v>41417.722293302468</v>
      </c>
      <c r="X23" s="264">
        <f t="shared" si="4"/>
        <v>43895.945213505416</v>
      </c>
      <c r="Y23" s="264">
        <f t="shared" si="4"/>
        <v>46520.067177262099</v>
      </c>
      <c r="Z23" s="264">
        <f t="shared" si="4"/>
        <v>49298.575095533561</v>
      </c>
    </row>
    <row r="24" spans="1:26">
      <c r="A24" s="194"/>
      <c r="B24" s="195" t="s">
        <v>32</v>
      </c>
      <c r="C24" s="182">
        <f>-C8</f>
        <v>-221.38</v>
      </c>
      <c r="D24" s="182">
        <f>-D8</f>
        <v>-1106.8800000000001</v>
      </c>
      <c r="E24" s="182">
        <f>-E8</f>
        <v>-1549.63</v>
      </c>
      <c r="F24" s="182">
        <f>-F8</f>
        <v>-1549.63</v>
      </c>
      <c r="G24" s="196"/>
      <c r="H24" s="197">
        <f>H21+SUM(C24:F24)</f>
        <v>-3929.8552834000006</v>
      </c>
      <c r="I24" s="197">
        <f t="shared" ref="I24:Z24" si="5">I21</f>
        <v>783.93994505541241</v>
      </c>
      <c r="J24" s="197">
        <f t="shared" si="5"/>
        <v>967.93775376431086</v>
      </c>
      <c r="K24" s="197">
        <f t="shared" si="5"/>
        <v>1026.6283566980474</v>
      </c>
      <c r="L24" s="197">
        <f t="shared" si="5"/>
        <v>1088.8074362180946</v>
      </c>
      <c r="M24" s="197">
        <f t="shared" si="5"/>
        <v>1154.6793733880099</v>
      </c>
      <c r="N24" s="197">
        <f t="shared" si="5"/>
        <v>1224.460394700749</v>
      </c>
      <c r="O24" s="197">
        <f t="shared" si="5"/>
        <v>1298.379252904544</v>
      </c>
      <c r="P24" s="197">
        <f t="shared" si="5"/>
        <v>1376.6779467016968</v>
      </c>
      <c r="Q24" s="197">
        <f t="shared" si="5"/>
        <v>1459.6124815278654</v>
      </c>
      <c r="R24" s="197">
        <f t="shared" si="5"/>
        <v>1547.4536737443077</v>
      </c>
      <c r="S24" s="197">
        <f t="shared" si="5"/>
        <v>1640.4880007072561</v>
      </c>
      <c r="T24" s="197">
        <f t="shared" si="5"/>
        <v>1739.018499318001</v>
      </c>
      <c r="U24" s="197">
        <f t="shared" si="5"/>
        <v>1843.3657158042324</v>
      </c>
      <c r="V24" s="197">
        <f t="shared" si="5"/>
        <v>1953.8687096386802</v>
      </c>
      <c r="W24" s="197">
        <f t="shared" si="5"/>
        <v>2070.8861146651234</v>
      </c>
      <c r="X24" s="197">
        <f t="shared" si="5"/>
        <v>2194.797260675271</v>
      </c>
      <c r="Y24" s="197">
        <f t="shared" si="5"/>
        <v>2326.0033588631049</v>
      </c>
      <c r="Z24" s="197">
        <f t="shared" si="5"/>
        <v>2464.928754776678</v>
      </c>
    </row>
    <row r="25" spans="1:26">
      <c r="A25" s="52"/>
      <c r="B25" s="17"/>
      <c r="C25" s="17"/>
      <c r="D25" s="17"/>
      <c r="E25" s="17"/>
      <c r="F25" s="17"/>
      <c r="G25" s="201"/>
      <c r="H25" s="199"/>
      <c r="I25" s="199"/>
      <c r="J25" s="199"/>
      <c r="K25" s="199"/>
      <c r="L25" s="199"/>
      <c r="M25" s="199"/>
      <c r="N25" s="199"/>
      <c r="O25" s="199"/>
      <c r="P25" s="199"/>
      <c r="Q25" s="199"/>
      <c r="R25" s="199"/>
      <c r="S25" s="199"/>
      <c r="T25" s="199"/>
      <c r="U25" s="199"/>
      <c r="V25" s="199"/>
      <c r="W25" s="199"/>
      <c r="X25" s="199"/>
      <c r="Y25" s="199"/>
      <c r="Z25" s="199"/>
    </row>
    <row r="26" spans="1:26">
      <c r="A26" s="52"/>
      <c r="B26" s="17" t="s">
        <v>33</v>
      </c>
      <c r="C26" s="17"/>
      <c r="D26" s="17"/>
      <c r="E26" s="17"/>
      <c r="F26" s="17"/>
      <c r="G26" s="201">
        <v>1</v>
      </c>
      <c r="H26" s="199">
        <f>G26/(1+0.1)</f>
        <v>0.90909090909090906</v>
      </c>
      <c r="I26" s="199">
        <f>H26/(1+0.1)</f>
        <v>0.82644628099173545</v>
      </c>
      <c r="J26" s="199">
        <f t="shared" ref="J26:Z26" si="6">I26/(1+0.1)</f>
        <v>0.75131480090157765</v>
      </c>
      <c r="K26" s="199">
        <f t="shared" si="6"/>
        <v>0.68301345536507052</v>
      </c>
      <c r="L26" s="199">
        <f t="shared" si="6"/>
        <v>0.62092132305915493</v>
      </c>
      <c r="M26" s="199">
        <f t="shared" si="6"/>
        <v>0.56447393005377711</v>
      </c>
      <c r="N26" s="199">
        <f t="shared" si="6"/>
        <v>0.51315811823070645</v>
      </c>
      <c r="O26" s="199">
        <f t="shared" si="6"/>
        <v>0.46650738020973309</v>
      </c>
      <c r="P26" s="199">
        <f t="shared" si="6"/>
        <v>0.42409761837248461</v>
      </c>
      <c r="Q26" s="199">
        <f t="shared" si="6"/>
        <v>0.38554328942953142</v>
      </c>
      <c r="R26" s="199">
        <f t="shared" si="6"/>
        <v>0.35049389948139215</v>
      </c>
      <c r="S26" s="199">
        <f t="shared" si="6"/>
        <v>0.31863081771035645</v>
      </c>
      <c r="T26" s="199">
        <f t="shared" si="6"/>
        <v>0.28966437973668768</v>
      </c>
      <c r="U26" s="199">
        <f t="shared" si="6"/>
        <v>0.26333125430607968</v>
      </c>
      <c r="V26" s="199">
        <f t="shared" si="6"/>
        <v>0.23939204936916333</v>
      </c>
      <c r="W26" s="199">
        <f t="shared" si="6"/>
        <v>0.21762913579014848</v>
      </c>
      <c r="X26" s="199">
        <f t="shared" si="6"/>
        <v>0.19784466890013497</v>
      </c>
      <c r="Y26" s="199">
        <f t="shared" si="6"/>
        <v>0.17985878990921358</v>
      </c>
      <c r="Z26" s="199">
        <f t="shared" si="6"/>
        <v>0.16350799082655779</v>
      </c>
    </row>
    <row r="27" spans="1:26">
      <c r="A27" s="52"/>
      <c r="B27" s="17" t="s">
        <v>34</v>
      </c>
      <c r="C27" s="17"/>
      <c r="D27" s="17"/>
      <c r="E27" s="17"/>
      <c r="F27" s="17"/>
      <c r="G27" s="211"/>
      <c r="H27" s="202">
        <f>H24*H26</f>
        <v>-3572.5957121818187</v>
      </c>
      <c r="I27" s="202">
        <f t="shared" ref="I27:Z27" si="7">I24*I26</f>
        <v>647.884252111911</v>
      </c>
      <c r="J27" s="202">
        <f t="shared" si="7"/>
        <v>727.22596075455351</v>
      </c>
      <c r="K27" s="202">
        <f t="shared" si="7"/>
        <v>701.20098128409745</v>
      </c>
      <c r="L27" s="202">
        <f t="shared" si="7"/>
        <v>676.06375385318574</v>
      </c>
      <c r="M27" s="202">
        <f t="shared" si="7"/>
        <v>651.78640384836274</v>
      </c>
      <c r="N27" s="202">
        <f t="shared" si="7"/>
        <v>628.34179199266441</v>
      </c>
      <c r="O27" s="202">
        <f t="shared" si="7"/>
        <v>605.70350379116928</v>
      </c>
      <c r="P27" s="202">
        <f t="shared" si="7"/>
        <v>583.84583846211194</v>
      </c>
      <c r="Q27" s="202">
        <f t="shared" si="7"/>
        <v>562.74379742065435</v>
      </c>
      <c r="R27" s="202">
        <f t="shared" si="7"/>
        <v>542.37307237744835</v>
      </c>
      <c r="S27" s="202">
        <f t="shared" si="7"/>
        <v>522.71003310938079</v>
      </c>
      <c r="T27" s="202">
        <f t="shared" si="7"/>
        <v>503.7317149555742</v>
      </c>
      <c r="U27" s="202">
        <f t="shared" si="7"/>
        <v>485.41580608755294</v>
      </c>
      <c r="V27" s="202">
        <f t="shared" si="7"/>
        <v>467.74063459868637</v>
      </c>
      <c r="W27" s="202">
        <f t="shared" si="7"/>
        <v>450.68515545438913</v>
      </c>
      <c r="X27" s="202">
        <f t="shared" si="7"/>
        <v>434.22893734122221</v>
      </c>
      <c r="Y27" s="202">
        <f t="shared" si="7"/>
        <v>418.35214944988434</v>
      </c>
      <c r="Z27" s="202">
        <f t="shared" si="7"/>
        <v>403.03554822414355</v>
      </c>
    </row>
    <row r="28" spans="1:26">
      <c r="A28" s="52"/>
      <c r="B28" s="17" t="s">
        <v>35</v>
      </c>
      <c r="C28" s="17"/>
      <c r="D28" s="17"/>
      <c r="E28" s="17"/>
      <c r="F28" s="17"/>
      <c r="G28" s="211"/>
      <c r="H28" s="202">
        <f>H24</f>
        <v>-3929.8552834000006</v>
      </c>
      <c r="I28" s="202">
        <f t="shared" ref="I28:Z28" si="8">I24</f>
        <v>783.93994505541241</v>
      </c>
      <c r="J28" s="202">
        <f t="shared" si="8"/>
        <v>967.93775376431086</v>
      </c>
      <c r="K28" s="202">
        <f t="shared" si="8"/>
        <v>1026.6283566980474</v>
      </c>
      <c r="L28" s="202">
        <f t="shared" si="8"/>
        <v>1088.8074362180946</v>
      </c>
      <c r="M28" s="202">
        <f t="shared" si="8"/>
        <v>1154.6793733880099</v>
      </c>
      <c r="N28" s="202">
        <f t="shared" si="8"/>
        <v>1224.460394700749</v>
      </c>
      <c r="O28" s="202">
        <f t="shared" si="8"/>
        <v>1298.379252904544</v>
      </c>
      <c r="P28" s="202">
        <f t="shared" si="8"/>
        <v>1376.6779467016968</v>
      </c>
      <c r="Q28" s="202">
        <f t="shared" si="8"/>
        <v>1459.6124815278654</v>
      </c>
      <c r="R28" s="202">
        <f t="shared" si="8"/>
        <v>1547.4536737443077</v>
      </c>
      <c r="S28" s="202">
        <f t="shared" si="8"/>
        <v>1640.4880007072561</v>
      </c>
      <c r="T28" s="202">
        <f t="shared" si="8"/>
        <v>1739.018499318001</v>
      </c>
      <c r="U28" s="202">
        <f t="shared" si="8"/>
        <v>1843.3657158042324</v>
      </c>
      <c r="V28" s="202">
        <f t="shared" si="8"/>
        <v>1953.8687096386802</v>
      </c>
      <c r="W28" s="202">
        <f t="shared" si="8"/>
        <v>2070.8861146651234</v>
      </c>
      <c r="X28" s="202">
        <f t="shared" si="8"/>
        <v>2194.797260675271</v>
      </c>
      <c r="Y28" s="202">
        <f t="shared" si="8"/>
        <v>2326.0033588631049</v>
      </c>
      <c r="Z28" s="202">
        <f t="shared" si="8"/>
        <v>2464.928754776678</v>
      </c>
    </row>
    <row r="29" spans="1:26">
      <c r="A29" s="53"/>
      <c r="B29" s="55" t="s">
        <v>448</v>
      </c>
      <c r="C29" s="55"/>
      <c r="D29" s="55"/>
      <c r="E29" s="55"/>
      <c r="F29" s="55"/>
      <c r="G29" s="212"/>
      <c r="H29" s="213">
        <f>H24</f>
        <v>-3929.8552834000006</v>
      </c>
      <c r="I29" s="213">
        <f>H29+I24</f>
        <v>-3145.9153383445882</v>
      </c>
      <c r="J29" s="213">
        <f t="shared" ref="J29:Z29" si="9">I29+J24</f>
        <v>-2177.9775845802774</v>
      </c>
      <c r="K29" s="213">
        <f t="shared" si="9"/>
        <v>-1151.34922788223</v>
      </c>
      <c r="L29" s="213">
        <f t="shared" si="9"/>
        <v>-62.541791664135417</v>
      </c>
      <c r="M29" s="213">
        <f t="shared" si="9"/>
        <v>1092.1375817238745</v>
      </c>
      <c r="N29" s="213">
        <f t="shared" si="9"/>
        <v>2316.5979764246235</v>
      </c>
      <c r="O29" s="213">
        <f t="shared" si="9"/>
        <v>3614.9772293291676</v>
      </c>
      <c r="P29" s="213">
        <f t="shared" si="9"/>
        <v>4991.6551760308648</v>
      </c>
      <c r="Q29" s="213">
        <f t="shared" si="9"/>
        <v>6451.2676575587302</v>
      </c>
      <c r="R29" s="213">
        <f t="shared" si="9"/>
        <v>7998.7213313030379</v>
      </c>
      <c r="S29" s="213">
        <f t="shared" si="9"/>
        <v>9639.209332010294</v>
      </c>
      <c r="T29" s="213">
        <f t="shared" si="9"/>
        <v>11378.227831328295</v>
      </c>
      <c r="U29" s="213">
        <f t="shared" si="9"/>
        <v>13221.593547132528</v>
      </c>
      <c r="V29" s="213">
        <f t="shared" si="9"/>
        <v>15175.462256771209</v>
      </c>
      <c r="W29" s="213">
        <f t="shared" si="9"/>
        <v>17246.348371436332</v>
      </c>
      <c r="X29" s="213">
        <f t="shared" si="9"/>
        <v>19441.145632111602</v>
      </c>
      <c r="Y29" s="213">
        <f t="shared" si="9"/>
        <v>21767.148990974707</v>
      </c>
      <c r="Z29" s="213">
        <f t="shared" si="9"/>
        <v>24232.077745751383</v>
      </c>
    </row>
    <row r="30" spans="1:26">
      <c r="A30" s="52"/>
      <c r="B30" s="17"/>
      <c r="C30" s="17"/>
      <c r="D30" s="17"/>
      <c r="E30" s="17"/>
      <c r="F30" s="17"/>
      <c r="G30" s="201"/>
      <c r="H30" s="202"/>
      <c r="I30" s="202"/>
      <c r="J30" s="202"/>
      <c r="K30" s="202"/>
      <c r="L30" s="202"/>
      <c r="M30" s="202"/>
      <c r="N30" s="202"/>
      <c r="O30" s="202"/>
      <c r="P30" s="202"/>
      <c r="Q30" s="202"/>
      <c r="R30" s="202"/>
      <c r="S30" s="202"/>
      <c r="T30" s="202"/>
      <c r="U30" s="202"/>
      <c r="V30" s="202"/>
      <c r="W30" s="202"/>
      <c r="X30" s="202"/>
      <c r="Y30" s="202"/>
      <c r="Z30" s="202"/>
    </row>
    <row r="31" spans="1:26">
      <c r="A31" s="52"/>
      <c r="B31" s="17"/>
      <c r="C31" s="17"/>
      <c r="D31" s="17"/>
      <c r="E31" s="17"/>
      <c r="F31" s="17"/>
      <c r="G31" s="201"/>
      <c r="H31" s="202"/>
      <c r="I31" s="202"/>
      <c r="J31" s="202"/>
      <c r="K31" s="202"/>
      <c r="L31" s="202"/>
      <c r="M31" s="202"/>
      <c r="N31" s="202"/>
      <c r="O31" s="202"/>
      <c r="P31" s="202"/>
      <c r="Q31" s="202"/>
      <c r="R31" s="202"/>
      <c r="S31" s="202"/>
      <c r="T31" s="202"/>
      <c r="U31" s="202"/>
      <c r="V31" s="202"/>
      <c r="W31" s="202"/>
      <c r="X31" s="202"/>
      <c r="Y31" s="202"/>
      <c r="Z31" s="202"/>
    </row>
    <row r="32" spans="1:26">
      <c r="A32" s="52"/>
      <c r="B32" s="214" t="s">
        <v>36</v>
      </c>
      <c r="C32" s="215"/>
      <c r="D32" s="215"/>
      <c r="E32" s="215"/>
      <c r="F32" s="215"/>
      <c r="G32" s="298">
        <f>NPV(0%,(H27:Z27))</f>
        <v>6440.4736229351747</v>
      </c>
      <c r="H32" s="216"/>
      <c r="I32" s="199"/>
      <c r="J32" s="199"/>
      <c r="K32" s="199"/>
      <c r="L32" s="199"/>
      <c r="M32" s="199"/>
      <c r="N32" s="199"/>
      <c r="O32" s="199"/>
      <c r="P32" s="199"/>
      <c r="Q32" s="199"/>
      <c r="R32" s="199"/>
      <c r="S32" s="199"/>
      <c r="T32" s="199"/>
      <c r="U32" s="199"/>
      <c r="V32" s="199"/>
      <c r="W32" s="199"/>
      <c r="X32" s="199"/>
      <c r="Y32" s="199"/>
      <c r="Z32" s="199"/>
    </row>
    <row r="33" spans="1:26">
      <c r="A33" s="52"/>
      <c r="B33" s="217" t="s">
        <v>37</v>
      </c>
      <c r="C33" s="218"/>
      <c r="D33" s="218"/>
      <c r="E33" s="218"/>
      <c r="F33" s="218"/>
      <c r="G33" s="300">
        <f>IRR(C24:Z24,0.1)</f>
        <v>0.11950758645584525</v>
      </c>
      <c r="H33" s="219"/>
      <c r="I33" s="199"/>
      <c r="J33" s="199"/>
      <c r="K33" s="199"/>
      <c r="L33" s="199"/>
      <c r="M33" s="199"/>
      <c r="N33" s="199"/>
      <c r="O33" s="199"/>
      <c r="P33" s="199"/>
      <c r="Q33" s="199"/>
      <c r="R33" s="199"/>
      <c r="S33" s="199"/>
      <c r="T33" s="199"/>
      <c r="U33" s="199"/>
      <c r="V33" s="199"/>
      <c r="W33" s="199"/>
      <c r="X33" s="199"/>
      <c r="Y33" s="199"/>
      <c r="Z33" s="199"/>
    </row>
    <row r="34" spans="1:26">
      <c r="A34" s="52"/>
      <c r="B34" s="220" t="s">
        <v>400</v>
      </c>
      <c r="C34" s="221"/>
      <c r="D34" s="221"/>
      <c r="E34" s="221"/>
      <c r="F34" s="221"/>
      <c r="G34" s="299">
        <f>IF(SUM(H39:Z39)&lt;=25,SUM(H39:Z39)," N/A ")</f>
        <v>5.0541637731698872</v>
      </c>
      <c r="H34" s="222"/>
      <c r="I34" s="199"/>
      <c r="J34" s="199"/>
      <c r="K34" s="199"/>
      <c r="L34" s="199"/>
      <c r="M34" s="199"/>
      <c r="N34" s="199"/>
      <c r="O34" s="199"/>
      <c r="P34" s="199"/>
      <c r="Q34" s="199"/>
      <c r="R34" s="199"/>
      <c r="S34" s="199"/>
      <c r="T34" s="199"/>
      <c r="U34" s="199"/>
      <c r="V34" s="199"/>
      <c r="W34" s="199"/>
      <c r="X34" s="199"/>
      <c r="Y34" s="199"/>
      <c r="Z34" s="199"/>
    </row>
    <row r="35" spans="1:26" ht="23.25" customHeight="1">
      <c r="A35" s="52"/>
      <c r="B35" s="307" t="s">
        <v>401</v>
      </c>
      <c r="C35" s="308"/>
      <c r="D35" s="308"/>
      <c r="E35" s="308"/>
      <c r="F35" s="308"/>
      <c r="G35" s="311">
        <f>IF(SUM(H40:Z40)&lt;=25,SUM(H40:Z40)," N/A ")</f>
        <v>5.0959544281606179</v>
      </c>
      <c r="H35" s="310"/>
      <c r="I35" s="199"/>
      <c r="J35" s="199"/>
      <c r="K35" s="199"/>
      <c r="L35" s="199"/>
      <c r="M35" s="199"/>
      <c r="N35" s="199"/>
      <c r="O35" s="199"/>
      <c r="P35" s="199"/>
      <c r="Q35" s="199"/>
      <c r="R35" s="199"/>
      <c r="S35" s="199"/>
      <c r="T35" s="199"/>
      <c r="U35" s="199"/>
      <c r="V35" s="199"/>
      <c r="W35" s="199"/>
      <c r="X35" s="199"/>
      <c r="Y35" s="199"/>
      <c r="Z35" s="199"/>
    </row>
    <row r="36" spans="1:26">
      <c r="A36" s="286"/>
      <c r="G36" s="1"/>
      <c r="H36" s="223">
        <v>1</v>
      </c>
      <c r="I36" s="301">
        <v>2</v>
      </c>
      <c r="J36" s="301">
        <v>3</v>
      </c>
      <c r="K36" s="301">
        <v>4</v>
      </c>
      <c r="L36" s="301">
        <v>5</v>
      </c>
      <c r="M36" s="301">
        <v>6</v>
      </c>
      <c r="N36" s="301">
        <v>7</v>
      </c>
      <c r="O36" s="301">
        <v>8</v>
      </c>
      <c r="P36" s="301">
        <v>9</v>
      </c>
      <c r="Q36" s="301">
        <v>10</v>
      </c>
      <c r="R36" s="301">
        <v>11</v>
      </c>
      <c r="S36" s="301">
        <v>12</v>
      </c>
      <c r="T36" s="301">
        <v>13</v>
      </c>
      <c r="U36" s="301">
        <v>14</v>
      </c>
      <c r="V36" s="301">
        <v>15</v>
      </c>
      <c r="W36" s="301">
        <v>16</v>
      </c>
      <c r="X36" s="301">
        <v>17</v>
      </c>
      <c r="Y36" s="301">
        <v>18</v>
      </c>
      <c r="Z36" s="302">
        <v>19</v>
      </c>
    </row>
    <row r="37" spans="1:26">
      <c r="A37" s="2"/>
      <c r="B37" s="303" t="s">
        <v>402</v>
      </c>
      <c r="G37" s="1"/>
      <c r="H37" s="223">
        <f t="shared" ref="H37:Z37" si="10">IF(H29&lt;0,1,IF(H28=0,0,-G29/H28))</f>
        <v>1</v>
      </c>
      <c r="I37" s="223">
        <f t="shared" si="10"/>
        <v>1</v>
      </c>
      <c r="J37" s="223">
        <f t="shared" si="10"/>
        <v>1</v>
      </c>
      <c r="K37" s="223">
        <f t="shared" si="10"/>
        <v>1</v>
      </c>
      <c r="L37" s="223">
        <f t="shared" si="10"/>
        <v>1</v>
      </c>
      <c r="M37" s="223">
        <f t="shared" si="10"/>
        <v>5.4163773169886992E-2</v>
      </c>
      <c r="N37" s="223">
        <f t="shared" si="10"/>
        <v>-0.89193377462468815</v>
      </c>
      <c r="O37" s="223">
        <f t="shared" si="10"/>
        <v>-1.7842228849870094</v>
      </c>
      <c r="P37" s="223">
        <f t="shared" si="10"/>
        <v>-2.6258699342065315</v>
      </c>
      <c r="Q37" s="223">
        <f t="shared" si="10"/>
        <v>-3.4198496102238005</v>
      </c>
      <c r="R37" s="223">
        <f t="shared" si="10"/>
        <v>-4.1689568915810407</v>
      </c>
      <c r="S37" s="223">
        <f t="shared" si="10"/>
        <v>-4.8758182491152544</v>
      </c>
      <c r="T37" s="223">
        <f t="shared" si="10"/>
        <v>-5.5429021231174644</v>
      </c>
      <c r="U37" s="223">
        <f t="shared" si="10"/>
        <v>-6.1725287249167193</v>
      </c>
      <c r="V37" s="223">
        <f t="shared" si="10"/>
        <v>-6.7668792083668379</v>
      </c>
      <c r="W37" s="223">
        <f t="shared" si="10"/>
        <v>-7.3280042534956999</v>
      </c>
      <c r="X37" s="223">
        <f t="shared" si="10"/>
        <v>-7.8578321015992909</v>
      </c>
      <c r="Y37" s="223">
        <f t="shared" si="10"/>
        <v>-8.358176078307114</v>
      </c>
      <c r="Z37" s="306">
        <f t="shared" si="10"/>
        <v>-8.8307416385942581</v>
      </c>
    </row>
    <row r="38" spans="1:26">
      <c r="A38" s="63"/>
      <c r="B38" s="303" t="s">
        <v>403</v>
      </c>
      <c r="G38" s="1"/>
      <c r="H38" s="223">
        <f t="shared" ref="H38:Z38" si="11">IF(H29&lt;0,1,IF(H27=0,0,-G29/H27))</f>
        <v>1</v>
      </c>
      <c r="I38" s="223">
        <f t="shared" si="11"/>
        <v>1</v>
      </c>
      <c r="J38" s="223">
        <f t="shared" si="11"/>
        <v>1</v>
      </c>
      <c r="K38" s="223">
        <f t="shared" si="11"/>
        <v>1</v>
      </c>
      <c r="L38" s="223">
        <f t="shared" si="11"/>
        <v>1</v>
      </c>
      <c r="M38" s="223">
        <f t="shared" si="11"/>
        <v>9.5954428160618221E-2</v>
      </c>
      <c r="N38" s="223">
        <f t="shared" si="11"/>
        <v>-1.7381265986786769</v>
      </c>
      <c r="O38" s="223">
        <f t="shared" si="11"/>
        <v>-3.8246402108040733</v>
      </c>
      <c r="P38" s="223">
        <f t="shared" si="11"/>
        <v>-6.1916639482286175</v>
      </c>
      <c r="Q38" s="223">
        <f t="shared" si="11"/>
        <v>-8.8702091411939143</v>
      </c>
      <c r="R38" s="223">
        <f t="shared" si="11"/>
        <v>-11.894520554422295</v>
      </c>
      <c r="S38" s="223">
        <f t="shared" si="11"/>
        <v>-15.302406352757435</v>
      </c>
      <c r="T38" s="223">
        <f t="shared" si="11"/>
        <v>-19.13560144383684</v>
      </c>
      <c r="U38" s="223">
        <f t="shared" si="11"/>
        <v>-23.440167560749021</v>
      </c>
      <c r="V38" s="223">
        <f t="shared" si="11"/>
        <v>-28.266933785807243</v>
      </c>
      <c r="W38" s="223">
        <f t="shared" si="11"/>
        <v>-33.671981588723568</v>
      </c>
      <c r="X38" s="223">
        <f t="shared" si="11"/>
        <v>-39.717178861997283</v>
      </c>
      <c r="Y38" s="223">
        <f t="shared" si="11"/>
        <v>-46.470767886996398</v>
      </c>
      <c r="Z38" s="306">
        <f t="shared" si="11"/>
        <v>-54.008012660136764</v>
      </c>
    </row>
    <row r="39" spans="1:26">
      <c r="A39" s="2"/>
      <c r="B39" s="303" t="s">
        <v>404</v>
      </c>
      <c r="G39" s="1"/>
      <c r="H39" s="296">
        <f>IF(H37&gt;0,H37,0)</f>
        <v>1</v>
      </c>
      <c r="I39" s="296">
        <f t="shared" ref="I39:Z40" si="12">IF(I37&gt;0,I37,0)</f>
        <v>1</v>
      </c>
      <c r="J39" s="296">
        <f t="shared" si="12"/>
        <v>1</v>
      </c>
      <c r="K39" s="296">
        <f t="shared" si="12"/>
        <v>1</v>
      </c>
      <c r="L39" s="296">
        <f t="shared" si="12"/>
        <v>1</v>
      </c>
      <c r="M39" s="296">
        <f t="shared" si="12"/>
        <v>5.4163773169886992E-2</v>
      </c>
      <c r="N39" s="296">
        <f t="shared" si="12"/>
        <v>0</v>
      </c>
      <c r="O39" s="296">
        <f t="shared" si="12"/>
        <v>0</v>
      </c>
      <c r="P39" s="296">
        <f t="shared" si="12"/>
        <v>0</v>
      </c>
      <c r="Q39" s="296">
        <f t="shared" si="12"/>
        <v>0</v>
      </c>
      <c r="R39" s="296">
        <f t="shared" si="12"/>
        <v>0</v>
      </c>
      <c r="S39" s="296">
        <f t="shared" si="12"/>
        <v>0</v>
      </c>
      <c r="T39" s="296">
        <f t="shared" si="12"/>
        <v>0</v>
      </c>
      <c r="U39" s="296">
        <f t="shared" si="12"/>
        <v>0</v>
      </c>
      <c r="V39" s="296">
        <f t="shared" si="12"/>
        <v>0</v>
      </c>
      <c r="W39" s="296">
        <f t="shared" si="12"/>
        <v>0</v>
      </c>
      <c r="X39" s="296">
        <f t="shared" si="12"/>
        <v>0</v>
      </c>
      <c r="Y39" s="296">
        <f t="shared" si="12"/>
        <v>0</v>
      </c>
      <c r="Z39" s="297">
        <f t="shared" si="12"/>
        <v>0</v>
      </c>
    </row>
    <row r="40" spans="1:26">
      <c r="A40" s="224"/>
      <c r="B40" s="295" t="s">
        <v>405</v>
      </c>
      <c r="C40" s="225"/>
      <c r="D40" s="225"/>
      <c r="E40" s="225"/>
      <c r="F40" s="225"/>
      <c r="G40" s="225"/>
      <c r="H40" s="304">
        <f>IF(H38&gt;0,H38,0)</f>
        <v>1</v>
      </c>
      <c r="I40" s="304">
        <f t="shared" si="12"/>
        <v>1</v>
      </c>
      <c r="J40" s="304">
        <f t="shared" si="12"/>
        <v>1</v>
      </c>
      <c r="K40" s="304">
        <f t="shared" si="12"/>
        <v>1</v>
      </c>
      <c r="L40" s="304">
        <f t="shared" si="12"/>
        <v>1</v>
      </c>
      <c r="M40" s="304">
        <f t="shared" si="12"/>
        <v>9.5954428160618221E-2</v>
      </c>
      <c r="N40" s="304">
        <f t="shared" si="12"/>
        <v>0</v>
      </c>
      <c r="O40" s="304">
        <f t="shared" si="12"/>
        <v>0</v>
      </c>
      <c r="P40" s="304">
        <f t="shared" si="12"/>
        <v>0</v>
      </c>
      <c r="Q40" s="304">
        <f t="shared" si="12"/>
        <v>0</v>
      </c>
      <c r="R40" s="304">
        <f t="shared" si="12"/>
        <v>0</v>
      </c>
      <c r="S40" s="304">
        <f t="shared" si="12"/>
        <v>0</v>
      </c>
      <c r="T40" s="304">
        <f t="shared" si="12"/>
        <v>0</v>
      </c>
      <c r="U40" s="304">
        <f t="shared" si="12"/>
        <v>0</v>
      </c>
      <c r="V40" s="304">
        <f t="shared" si="12"/>
        <v>0</v>
      </c>
      <c r="W40" s="304">
        <f t="shared" si="12"/>
        <v>0</v>
      </c>
      <c r="X40" s="304">
        <f t="shared" si="12"/>
        <v>0</v>
      </c>
      <c r="Y40" s="304">
        <f t="shared" si="12"/>
        <v>0</v>
      </c>
      <c r="Z40" s="305">
        <f t="shared" si="12"/>
        <v>0</v>
      </c>
    </row>
    <row r="41" spans="1:26">
      <c r="C41" s="163"/>
      <c r="D41" s="163"/>
      <c r="E41" s="163"/>
      <c r="F41" s="163"/>
    </row>
    <row r="42" spans="1:26">
      <c r="C42" s="163"/>
      <c r="D42" s="163"/>
      <c r="E42" s="163"/>
      <c r="F42" s="163"/>
    </row>
    <row r="43" spans="1:26">
      <c r="C43" s="163"/>
      <c r="D43" s="163"/>
      <c r="E43" s="163"/>
      <c r="F43" s="163"/>
    </row>
    <row r="44" spans="1:26">
      <c r="C44" s="163"/>
      <c r="D44" s="163"/>
      <c r="E44" s="163"/>
      <c r="F44" s="163"/>
    </row>
    <row r="45" spans="1:26">
      <c r="C45" s="163"/>
      <c r="D45" s="163"/>
      <c r="E45" s="163"/>
      <c r="F45" s="163"/>
    </row>
    <row r="46" spans="1:26">
      <c r="C46" s="163"/>
      <c r="D46" s="163"/>
      <c r="E46" s="163"/>
      <c r="F46" s="163"/>
    </row>
    <row r="47" spans="1:26">
      <c r="C47" s="163"/>
      <c r="D47" s="163"/>
      <c r="E47" s="163"/>
      <c r="F47" s="163"/>
    </row>
    <row r="48" spans="1:26">
      <c r="A48" s="286"/>
      <c r="B48" s="287" t="s">
        <v>393</v>
      </c>
      <c r="C48" s="287"/>
      <c r="D48" s="287"/>
      <c r="E48" s="287"/>
      <c r="F48" s="287"/>
      <c r="G48" s="287"/>
      <c r="H48" s="158">
        <f>H11/(500000*H3)*10^7</f>
        <v>74749.509166666656</v>
      </c>
      <c r="I48" s="158">
        <f t="shared" ref="I48:Z48" si="13">I11/(500000*I3)*10^7</f>
        <v>79050.595924116642</v>
      </c>
      <c r="J48" s="158">
        <f t="shared" si="13"/>
        <v>83599.167213590306</v>
      </c>
      <c r="K48" s="158">
        <f t="shared" si="13"/>
        <v>88409.463295060312</v>
      </c>
      <c r="L48" s="158">
        <f t="shared" si="13"/>
        <v>93496.54381305803</v>
      </c>
      <c r="M48" s="158">
        <f t="shared" si="13"/>
        <v>98876.334944061411</v>
      </c>
      <c r="N48" s="158">
        <f t="shared" si="13"/>
        <v>104565.67925674267</v>
      </c>
      <c r="O48" s="158">
        <f t="shared" si="13"/>
        <v>110582.38844117564</v>
      </c>
      <c r="P48" s="158">
        <f t="shared" si="13"/>
        <v>116945.29907208087</v>
      </c>
      <c r="Q48" s="158">
        <f t="shared" si="13"/>
        <v>123674.33158068838</v>
      </c>
      <c r="R48" s="158">
        <f t="shared" si="13"/>
        <v>130790.55261984114</v>
      </c>
      <c r="S48" s="158">
        <f t="shared" si="13"/>
        <v>138316.24101758684</v>
      </c>
      <c r="T48" s="158">
        <f t="shared" si="13"/>
        <v>146274.95752573875</v>
      </c>
      <c r="U48" s="158">
        <f t="shared" si="13"/>
        <v>154691.61858176976</v>
      </c>
      <c r="V48" s="158">
        <f t="shared" si="13"/>
        <v>163592.57431496476</v>
      </c>
      <c r="W48" s="158">
        <f t="shared" si="13"/>
        <v>173005.69104104786</v>
      </c>
      <c r="X48" s="158">
        <f t="shared" si="13"/>
        <v>182960.43850354973</v>
      </c>
      <c r="Y48" s="158">
        <f t="shared" si="13"/>
        <v>193487.98213504392</v>
      </c>
      <c r="Z48" s="158">
        <f t="shared" si="13"/>
        <v>204621.2806270943</v>
      </c>
    </row>
    <row r="49" spans="1:26" s="32" customFormat="1">
      <c r="A49" s="2"/>
      <c r="B49" s="1" t="s">
        <v>394</v>
      </c>
      <c r="C49" s="1"/>
      <c r="D49" s="1"/>
      <c r="E49" s="1"/>
      <c r="F49" s="1"/>
      <c r="G49" s="1"/>
      <c r="H49" s="75">
        <f>H19/(500000*H3)*10^7</f>
        <v>60530.51726380951</v>
      </c>
      <c r="I49" s="75">
        <f>I19/(500000*I3)*10^7</f>
        <v>61629.70825621859</v>
      </c>
      <c r="J49" s="75">
        <f t="shared" ref="J49:Z49" si="14">J19/(500000)*10^7</f>
        <v>64240.412138304084</v>
      </c>
      <c r="K49" s="75">
        <f t="shared" si="14"/>
        <v>67876.896161099357</v>
      </c>
      <c r="L49" s="75">
        <f t="shared" si="14"/>
        <v>71720.395088696139</v>
      </c>
      <c r="M49" s="75">
        <f t="shared" si="14"/>
        <v>75782.7474763012</v>
      </c>
      <c r="N49" s="75">
        <f t="shared" si="14"/>
        <v>80076.471362727709</v>
      </c>
      <c r="O49" s="75">
        <f t="shared" si="14"/>
        <v>84614.803383084771</v>
      </c>
      <c r="P49" s="75">
        <f t="shared" si="14"/>
        <v>89411.740138046938</v>
      </c>
      <c r="Q49" s="75">
        <f t="shared" si="14"/>
        <v>94482.081950131076</v>
      </c>
      <c r="R49" s="75">
        <f t="shared" si="14"/>
        <v>99841.479144954996</v>
      </c>
      <c r="S49" s="75">
        <f t="shared" si="14"/>
        <v>105506.48100344172</v>
      </c>
      <c r="T49" s="75">
        <f t="shared" si="14"/>
        <v>111494.58753937873</v>
      </c>
      <c r="U49" s="75">
        <f t="shared" si="14"/>
        <v>117824.30426568512</v>
      </c>
      <c r="V49" s="75">
        <f t="shared" si="14"/>
        <v>124515.20012219115</v>
      </c>
      <c r="W49" s="75">
        <f t="shared" si="14"/>
        <v>131587.96874774538</v>
      </c>
      <c r="X49" s="75">
        <f t="shared" si="14"/>
        <v>139064.49329004428</v>
      </c>
      <c r="Y49" s="75">
        <f t="shared" si="14"/>
        <v>146967.91495778182</v>
      </c>
      <c r="Z49" s="75">
        <f t="shared" si="14"/>
        <v>155322.70553156076</v>
      </c>
    </row>
    <row r="50" spans="1:26" s="32" customFormat="1">
      <c r="A50" s="224"/>
      <c r="B50" s="225" t="s">
        <v>395</v>
      </c>
      <c r="C50" s="225"/>
      <c r="D50" s="225"/>
      <c r="E50" s="225"/>
      <c r="F50" s="225"/>
      <c r="G50" s="225"/>
      <c r="H50" s="289">
        <f>H48-H49</f>
        <v>14218.991902857146</v>
      </c>
      <c r="I50" s="289">
        <f t="shared" ref="I50:Z50" si="15">I48-I49</f>
        <v>17420.887667898052</v>
      </c>
      <c r="J50" s="289">
        <f t="shared" si="15"/>
        <v>19358.755075286223</v>
      </c>
      <c r="K50" s="289">
        <f t="shared" si="15"/>
        <v>20532.567133960954</v>
      </c>
      <c r="L50" s="289">
        <f t="shared" si="15"/>
        <v>21776.14872436189</v>
      </c>
      <c r="M50" s="289">
        <f t="shared" si="15"/>
        <v>23093.587467760211</v>
      </c>
      <c r="N50" s="289">
        <f t="shared" si="15"/>
        <v>24489.207894014966</v>
      </c>
      <c r="O50" s="289">
        <f t="shared" si="15"/>
        <v>25967.585058090874</v>
      </c>
      <c r="P50" s="289">
        <f t="shared" si="15"/>
        <v>27533.558934033936</v>
      </c>
      <c r="Q50" s="289">
        <f t="shared" si="15"/>
        <v>29192.2496305573</v>
      </c>
      <c r="R50" s="289">
        <f t="shared" si="15"/>
        <v>30949.073474886143</v>
      </c>
      <c r="S50" s="289">
        <f t="shared" si="15"/>
        <v>32809.760014145126</v>
      </c>
      <c r="T50" s="289">
        <f t="shared" si="15"/>
        <v>34780.36998636002</v>
      </c>
      <c r="U50" s="289">
        <f t="shared" si="15"/>
        <v>36867.314316084638</v>
      </c>
      <c r="V50" s="289">
        <f t="shared" si="15"/>
        <v>39077.374192773612</v>
      </c>
      <c r="W50" s="289">
        <f t="shared" si="15"/>
        <v>41417.722293302475</v>
      </c>
      <c r="X50" s="289">
        <f t="shared" si="15"/>
        <v>43895.945213505445</v>
      </c>
      <c r="Y50" s="289">
        <f t="shared" si="15"/>
        <v>46520.067177262099</v>
      </c>
      <c r="Z50" s="42">
        <f t="shared" si="15"/>
        <v>49298.575095533539</v>
      </c>
    </row>
    <row r="51" spans="1:26" s="32" customFormat="1">
      <c r="A51" s="58"/>
      <c r="C51" s="1"/>
      <c r="D51" s="1"/>
      <c r="E51" s="1"/>
      <c r="F51" s="1"/>
      <c r="G51" s="58"/>
      <c r="H51" s="617">
        <f>H50/H48</f>
        <v>0.19022187652300834</v>
      </c>
      <c r="L51" s="226"/>
      <c r="M51" s="226"/>
      <c r="N51" s="226"/>
      <c r="O51" s="226"/>
      <c r="P51" s="226"/>
      <c r="Q51" s="226"/>
    </row>
    <row r="52" spans="1:26" s="32" customFormat="1">
      <c r="A52" s="58"/>
      <c r="C52" s="1"/>
      <c r="D52" s="1"/>
      <c r="E52" s="1"/>
      <c r="F52" s="1"/>
      <c r="G52" s="58"/>
    </row>
    <row r="53" spans="1:26" s="32" customFormat="1">
      <c r="A53" s="58"/>
      <c r="B53" s="227" t="s">
        <v>399</v>
      </c>
      <c r="C53" s="228">
        <v>4.4999999999999998E-2</v>
      </c>
      <c r="D53" s="1"/>
      <c r="E53" s="1"/>
      <c r="F53" s="1"/>
      <c r="G53" s="58"/>
    </row>
    <row r="54" spans="1:26" s="32" customFormat="1">
      <c r="A54" s="58"/>
      <c r="B54" s="227" t="s">
        <v>349</v>
      </c>
      <c r="C54" s="230">
        <v>4</v>
      </c>
      <c r="D54" s="1"/>
      <c r="E54" s="1"/>
      <c r="F54" s="1"/>
      <c r="G54" s="58"/>
    </row>
    <row r="55" spans="1:26" s="32" customFormat="1" ht="14.45" customHeight="1">
      <c r="A55" s="58"/>
      <c r="C55" s="1"/>
      <c r="D55" s="1"/>
      <c r="E55" s="1"/>
      <c r="F55" s="1"/>
      <c r="G55" s="58"/>
    </row>
    <row r="56" spans="1:26" s="32" customFormat="1">
      <c r="A56" s="58"/>
      <c r="B56" s="1"/>
      <c r="C56" s="1"/>
      <c r="D56" s="1"/>
      <c r="E56" s="1"/>
      <c r="F56" s="1"/>
      <c r="G56" s="58"/>
    </row>
    <row r="59" spans="1:26" s="32" customFormat="1">
      <c r="A59" s="58"/>
      <c r="B59" s="1"/>
      <c r="E59" s="1"/>
      <c r="F59" s="1"/>
      <c r="G59" s="58"/>
      <c r="I59" s="226"/>
      <c r="J59" s="226"/>
      <c r="K59" s="226"/>
      <c r="L59" s="226"/>
      <c r="M59" s="226"/>
      <c r="N59" s="226"/>
      <c r="P59" s="226"/>
    </row>
    <row r="60" spans="1:26" s="32" customFormat="1">
      <c r="A60" s="58"/>
      <c r="B60" s="1"/>
      <c r="E60" s="1"/>
      <c r="F60" s="1"/>
      <c r="G60" s="58"/>
      <c r="I60" s="229"/>
      <c r="J60" s="1093"/>
      <c r="K60" s="1093"/>
      <c r="L60" s="1093"/>
      <c r="M60" s="1093"/>
      <c r="N60" s="1093"/>
    </row>
    <row r="61" spans="1:26" s="32" customFormat="1">
      <c r="A61" s="58"/>
      <c r="B61" s="1"/>
      <c r="E61" s="1"/>
      <c r="F61" s="1"/>
      <c r="G61" s="58"/>
      <c r="I61" s="226"/>
      <c r="J61" s="226"/>
      <c r="K61" s="226"/>
      <c r="L61" s="226"/>
      <c r="M61" s="226"/>
      <c r="N61" s="226"/>
      <c r="P61" s="226"/>
    </row>
    <row r="62" spans="1:26" s="32" customFormat="1">
      <c r="A62" s="58"/>
      <c r="B62" s="1"/>
      <c r="E62" s="1"/>
      <c r="F62" s="1"/>
      <c r="G62" s="58"/>
      <c r="I62" s="226"/>
      <c r="J62" s="226"/>
      <c r="K62" s="226"/>
      <c r="L62" s="226"/>
      <c r="M62" s="226"/>
      <c r="N62" s="226"/>
      <c r="P62" s="226"/>
    </row>
    <row r="63" spans="1:26" s="32" customFormat="1">
      <c r="A63" s="58"/>
      <c r="B63" s="1"/>
      <c r="C63" s="1"/>
      <c r="D63" s="1"/>
      <c r="E63" s="1"/>
      <c r="F63" s="1"/>
      <c r="G63" s="58"/>
      <c r="I63" s="229"/>
      <c r="J63" s="1093"/>
      <c r="K63" s="1093"/>
      <c r="L63" s="1093"/>
      <c r="M63" s="1093"/>
      <c r="N63" s="1093"/>
    </row>
    <row r="64" spans="1:26" s="32" customFormat="1">
      <c r="A64" s="58"/>
      <c r="B64" s="1"/>
      <c r="C64" s="1"/>
      <c r="D64" s="1"/>
      <c r="E64" s="1"/>
      <c r="F64" s="1"/>
      <c r="G64" s="58"/>
      <c r="I64" s="226"/>
      <c r="J64" s="226"/>
      <c r="K64" s="226"/>
      <c r="L64" s="226"/>
      <c r="M64" s="226"/>
      <c r="N64" s="226"/>
      <c r="P64" s="226"/>
    </row>
    <row r="65" spans="1:16" s="32" customFormat="1">
      <c r="A65" s="58"/>
      <c r="B65" s="1"/>
      <c r="C65" s="1"/>
      <c r="D65" s="1"/>
      <c r="E65" s="1"/>
      <c r="F65" s="1"/>
      <c r="G65" s="58"/>
      <c r="I65" s="226"/>
      <c r="J65" s="226"/>
      <c r="K65" s="226"/>
      <c r="L65" s="226"/>
      <c r="M65" s="226"/>
      <c r="N65" s="226"/>
      <c r="P65" s="226"/>
    </row>
    <row r="66" spans="1:16" s="32" customFormat="1">
      <c r="A66" s="58"/>
      <c r="B66" s="1"/>
      <c r="C66" s="1"/>
      <c r="D66" s="1"/>
      <c r="E66" s="1"/>
      <c r="F66" s="1"/>
      <c r="G66" s="58"/>
      <c r="I66" s="229"/>
      <c r="J66" s="1093"/>
      <c r="K66" s="1093"/>
      <c r="L66" s="1093"/>
      <c r="M66" s="1093"/>
      <c r="N66" s="1093"/>
    </row>
    <row r="67" spans="1:16" s="32" customFormat="1">
      <c r="A67" s="58"/>
      <c r="B67" s="1"/>
      <c r="C67" s="1"/>
      <c r="D67" s="1"/>
      <c r="E67" s="1"/>
      <c r="F67" s="1"/>
      <c r="G67" s="58"/>
      <c r="I67" s="226"/>
      <c r="J67" s="226"/>
      <c r="K67" s="226"/>
      <c r="L67" s="226"/>
      <c r="M67" s="226"/>
      <c r="N67" s="226"/>
      <c r="P67" s="226"/>
    </row>
    <row r="68" spans="1:16" s="32" customFormat="1">
      <c r="A68" s="58"/>
      <c r="B68" s="1"/>
      <c r="C68" s="1"/>
      <c r="D68" s="1"/>
      <c r="E68" s="1"/>
      <c r="F68" s="1"/>
      <c r="G68" s="58"/>
      <c r="I68" s="226"/>
      <c r="J68" s="226"/>
      <c r="K68" s="226"/>
      <c r="L68" s="226"/>
      <c r="M68" s="226"/>
      <c r="N68" s="226"/>
      <c r="P68" s="226"/>
    </row>
    <row r="79" spans="1:16" s="32" customFormat="1">
      <c r="A79" s="58"/>
      <c r="B79" s="1"/>
      <c r="C79" s="1"/>
      <c r="D79" s="1"/>
      <c r="E79" s="1"/>
      <c r="F79" s="1"/>
      <c r="G79" s="58"/>
      <c r="H79" s="199"/>
      <c r="I79" s="199"/>
      <c r="J79" s="199"/>
      <c r="K79" s="199"/>
      <c r="L79" s="199"/>
      <c r="M79" s="199"/>
    </row>
    <row r="80" spans="1:16" s="32" customFormat="1">
      <c r="A80" s="58"/>
      <c r="B80" s="1"/>
      <c r="C80" s="1"/>
      <c r="D80" s="1"/>
      <c r="E80" s="1"/>
      <c r="F80" s="1"/>
      <c r="G80" s="58"/>
      <c r="H80" s="231"/>
      <c r="I80" s="231"/>
      <c r="J80" s="231"/>
      <c r="K80" s="231"/>
      <c r="L80" s="231"/>
      <c r="M80" s="231"/>
    </row>
    <row r="81" spans="1:13" s="32" customFormat="1">
      <c r="A81" s="58"/>
      <c r="B81" s="1"/>
      <c r="C81" s="1"/>
      <c r="D81" s="1"/>
      <c r="E81" s="1"/>
      <c r="F81" s="1"/>
      <c r="G81" s="58"/>
      <c r="H81" s="231"/>
      <c r="I81" s="231"/>
      <c r="J81" s="231"/>
      <c r="K81" s="231"/>
      <c r="L81" s="231"/>
      <c r="M81" s="231"/>
    </row>
  </sheetData>
  <mergeCells count="11">
    <mergeCell ref="R4:Z4"/>
    <mergeCell ref="B5:B6"/>
    <mergeCell ref="A7:G7"/>
    <mergeCell ref="J60:N60"/>
    <mergeCell ref="J63:N63"/>
    <mergeCell ref="A1:F1"/>
    <mergeCell ref="J66:N66"/>
    <mergeCell ref="A2:B2"/>
    <mergeCell ref="A3:B3"/>
    <mergeCell ref="A4:A6"/>
    <mergeCell ref="H4:Q4"/>
  </mergeCells>
  <hyperlinks>
    <hyperlink ref="B32" r:id="rId1" display="NPV@12%" xr:uid="{4C5C96EB-2523-41B7-9E84-C0A4EB0D512B}"/>
  </hyperlinks>
  <pageMargins left="0.7" right="0.7" top="0.75" bottom="0.75" header="0.3" footer="0.3"/>
  <pageSetup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5D667-7FF8-4BC3-8258-BE7FB1A3242F}">
  <sheetPr>
    <tabColor rgb="FFFFC000"/>
  </sheetPr>
  <dimension ref="A1:AA71"/>
  <sheetViews>
    <sheetView showGridLines="0" zoomScale="96" zoomScaleNormal="96" workbookViewId="0">
      <pane ySplit="8" topLeftCell="A9" activePane="bottomLeft" state="frozen"/>
      <selection activeCell="G10" sqref="G10"/>
      <selection pane="bottomLeft" activeCell="B11" sqref="B11"/>
    </sheetView>
  </sheetViews>
  <sheetFormatPr defaultColWidth="8.7109375" defaultRowHeight="12.75"/>
  <cols>
    <col min="1" max="1" width="8.85546875" style="58" bestFit="1" customWidth="1"/>
    <col min="2" max="2" width="60" style="1" bestFit="1" customWidth="1"/>
    <col min="3" max="3" width="20" style="1" bestFit="1" customWidth="1"/>
    <col min="4" max="4" width="8.140625" style="1" customWidth="1"/>
    <col min="5" max="5" width="20" style="1" bestFit="1" customWidth="1"/>
    <col min="6" max="6" width="12.28515625" style="1" customWidth="1"/>
    <col min="7" max="7" width="11.140625" style="1" customWidth="1"/>
    <col min="8" max="8" width="18" style="32" bestFit="1" customWidth="1"/>
    <col min="9" max="9" width="17.140625" style="32" customWidth="1"/>
    <col min="10" max="10" width="18.5703125" style="32" bestFit="1" customWidth="1"/>
    <col min="11" max="11" width="18.7109375" style="32" bestFit="1" customWidth="1"/>
    <col min="12" max="12" width="18.5703125" style="32" bestFit="1" customWidth="1"/>
    <col min="13" max="17" width="18.7109375" style="32" bestFit="1" customWidth="1"/>
    <col min="18" max="18" width="15" style="32" customWidth="1"/>
    <col min="19" max="19" width="16.28515625" style="32" customWidth="1"/>
    <col min="20" max="20" width="16.42578125" style="32" customWidth="1"/>
    <col min="21" max="21" width="18" style="32" customWidth="1"/>
    <col min="22" max="22" width="18.7109375" style="32" customWidth="1"/>
    <col min="23" max="23" width="19.140625" style="32" customWidth="1"/>
    <col min="24" max="24" width="20.42578125" style="32" customWidth="1"/>
    <col min="25" max="25" width="19" style="32" customWidth="1"/>
    <col min="26" max="26" width="19.28515625" style="32" customWidth="1"/>
    <col min="27" max="16384" width="8.7109375" style="1"/>
  </cols>
  <sheetData>
    <row r="1" spans="1:27" ht="12.75" customHeight="1">
      <c r="A1" s="1089" t="str">
        <f>'Opex PVC'!A62</f>
        <v>Capacity for 350 KTPA PVC Resin and 200 KTPA Phenol + 123 KTPA Acetone</v>
      </c>
      <c r="B1" s="1090"/>
      <c r="C1" s="1090"/>
      <c r="D1" s="1090"/>
      <c r="E1" s="1090"/>
      <c r="F1" s="1090"/>
      <c r="G1" s="1090"/>
      <c r="H1" s="1090"/>
      <c r="I1" s="620"/>
      <c r="J1" s="620"/>
      <c r="K1" s="620"/>
      <c r="L1" s="620"/>
      <c r="M1" s="620"/>
      <c r="N1" s="620"/>
      <c r="O1" s="620"/>
      <c r="P1" s="620"/>
      <c r="Q1" s="620"/>
      <c r="R1" s="620"/>
      <c r="S1" s="620"/>
      <c r="T1" s="620"/>
      <c r="U1" s="620"/>
      <c r="V1" s="620"/>
      <c r="W1" s="620"/>
      <c r="X1" s="620"/>
      <c r="Y1" s="620"/>
      <c r="Z1" s="620"/>
    </row>
    <row r="2" spans="1:27" s="167" customFormat="1" ht="15" customHeight="1">
      <c r="A2" s="1089" t="s">
        <v>445</v>
      </c>
      <c r="B2" s="1090"/>
      <c r="C2" s="166">
        <v>1</v>
      </c>
      <c r="D2" s="166">
        <v>2</v>
      </c>
      <c r="E2" s="166">
        <v>3</v>
      </c>
      <c r="F2" s="166">
        <v>4</v>
      </c>
      <c r="G2" s="166"/>
      <c r="H2" s="166">
        <v>5</v>
      </c>
      <c r="I2" s="166">
        <v>6</v>
      </c>
      <c r="J2" s="166">
        <v>7</v>
      </c>
      <c r="K2" s="166">
        <v>8</v>
      </c>
      <c r="L2" s="166">
        <v>9</v>
      </c>
      <c r="M2" s="166">
        <v>10</v>
      </c>
      <c r="N2" s="166">
        <v>11</v>
      </c>
      <c r="O2" s="166">
        <v>12</v>
      </c>
      <c r="P2" s="166">
        <v>13</v>
      </c>
      <c r="Q2" s="166">
        <v>14</v>
      </c>
      <c r="R2" s="166">
        <v>15</v>
      </c>
      <c r="S2" s="166">
        <v>16</v>
      </c>
      <c r="T2" s="166">
        <v>17</v>
      </c>
      <c r="U2" s="166">
        <v>18</v>
      </c>
      <c r="V2" s="166">
        <v>19</v>
      </c>
      <c r="W2" s="166">
        <v>20</v>
      </c>
      <c r="X2" s="166">
        <v>21</v>
      </c>
      <c r="Y2" s="166">
        <v>22</v>
      </c>
      <c r="Z2" s="166">
        <v>23</v>
      </c>
    </row>
    <row r="3" spans="1:27" s="167" customFormat="1" ht="15" customHeight="1">
      <c r="A3" s="1098" t="s">
        <v>223</v>
      </c>
      <c r="B3" s="1099"/>
      <c r="C3" s="158"/>
      <c r="D3" s="158"/>
      <c r="E3" s="158"/>
      <c r="F3" s="158"/>
      <c r="G3" s="158"/>
      <c r="H3" s="168">
        <v>0.7</v>
      </c>
      <c r="I3" s="168">
        <v>0.9</v>
      </c>
      <c r="J3" s="168">
        <v>1</v>
      </c>
      <c r="K3" s="168">
        <v>1</v>
      </c>
      <c r="L3" s="168">
        <v>1</v>
      </c>
      <c r="M3" s="168">
        <v>1</v>
      </c>
      <c r="N3" s="168">
        <v>1</v>
      </c>
      <c r="O3" s="168">
        <v>1</v>
      </c>
      <c r="P3" s="168">
        <v>1</v>
      </c>
      <c r="Q3" s="168">
        <v>1</v>
      </c>
      <c r="R3" s="168">
        <v>1</v>
      </c>
      <c r="S3" s="168">
        <v>1</v>
      </c>
      <c r="T3" s="168">
        <v>1</v>
      </c>
      <c r="U3" s="168">
        <v>1</v>
      </c>
      <c r="V3" s="168">
        <v>1</v>
      </c>
      <c r="W3" s="168">
        <v>1</v>
      </c>
      <c r="X3" s="168">
        <v>1</v>
      </c>
      <c r="Y3" s="168">
        <v>1</v>
      </c>
      <c r="Z3" s="168">
        <v>1</v>
      </c>
    </row>
    <row r="4" spans="1:27" ht="15" customHeight="1">
      <c r="A4" s="1096" t="s">
        <v>24</v>
      </c>
      <c r="B4" s="1097"/>
      <c r="C4" s="169"/>
      <c r="D4" s="169"/>
      <c r="E4" s="169"/>
      <c r="F4" s="169"/>
      <c r="G4" s="170"/>
      <c r="H4" s="1088" t="s">
        <v>25</v>
      </c>
      <c r="I4" s="1088"/>
      <c r="J4" s="1088"/>
      <c r="K4" s="1088"/>
      <c r="L4" s="1088"/>
      <c r="M4" s="1088"/>
      <c r="N4" s="1088"/>
      <c r="O4" s="1088"/>
      <c r="P4" s="1088"/>
      <c r="Q4" s="1088"/>
      <c r="R4" s="1088" t="s">
        <v>25</v>
      </c>
      <c r="S4" s="1088"/>
      <c r="T4" s="1088"/>
      <c r="U4" s="1088"/>
      <c r="V4" s="1088"/>
      <c r="W4" s="1088"/>
      <c r="X4" s="1088"/>
      <c r="Y4" s="1088"/>
      <c r="Z4" s="1088"/>
    </row>
    <row r="5" spans="1:27">
      <c r="A5" s="239"/>
      <c r="B5" s="1091"/>
      <c r="C5" s="238">
        <v>2023</v>
      </c>
      <c r="D5" s="238">
        <v>2024</v>
      </c>
      <c r="E5" s="238">
        <v>2025</v>
      </c>
      <c r="F5" s="238">
        <v>2026</v>
      </c>
      <c r="G5" s="238" t="s">
        <v>151</v>
      </c>
      <c r="H5" s="238">
        <v>2027</v>
      </c>
      <c r="I5" s="238">
        <v>2028</v>
      </c>
      <c r="J5" s="238">
        <v>2029</v>
      </c>
      <c r="K5" s="238">
        <v>2030</v>
      </c>
      <c r="L5" s="238">
        <v>2031</v>
      </c>
      <c r="M5" s="238">
        <v>2032</v>
      </c>
      <c r="N5" s="238">
        <v>2033</v>
      </c>
      <c r="O5" s="238">
        <v>2034</v>
      </c>
      <c r="P5" s="238">
        <v>2035</v>
      </c>
      <c r="Q5" s="238">
        <v>2036</v>
      </c>
      <c r="R5" s="238">
        <v>2037</v>
      </c>
      <c r="S5" s="238">
        <v>2038</v>
      </c>
      <c r="T5" s="238">
        <v>2039</v>
      </c>
      <c r="U5" s="238">
        <v>2040</v>
      </c>
      <c r="V5" s="238">
        <v>2041</v>
      </c>
      <c r="W5" s="238">
        <v>2042</v>
      </c>
      <c r="X5" s="238">
        <v>2043</v>
      </c>
      <c r="Y5" s="238">
        <v>2044</v>
      </c>
      <c r="Z5" s="238">
        <v>2045</v>
      </c>
    </row>
    <row r="6" spans="1:27">
      <c r="A6" s="240"/>
      <c r="B6" s="1092"/>
      <c r="C6" s="172">
        <v>0.05</v>
      </c>
      <c r="D6" s="172">
        <v>0.25</v>
      </c>
      <c r="E6" s="172">
        <v>0.35</v>
      </c>
      <c r="F6" s="172">
        <v>0.35</v>
      </c>
      <c r="G6" s="173"/>
      <c r="H6" s="174"/>
      <c r="I6" s="174"/>
      <c r="J6" s="174"/>
      <c r="K6" s="174"/>
      <c r="L6" s="174"/>
      <c r="M6" s="174"/>
      <c r="N6" s="175"/>
      <c r="O6" s="174"/>
      <c r="P6" s="175"/>
      <c r="Q6" s="174"/>
      <c r="R6" s="176"/>
      <c r="S6" s="176"/>
      <c r="T6" s="176"/>
      <c r="U6" s="176"/>
      <c r="V6" s="176"/>
      <c r="W6" s="176"/>
      <c r="X6" s="176"/>
      <c r="Y6" s="176"/>
      <c r="Z6" s="176"/>
    </row>
    <row r="7" spans="1:27" ht="19.5" customHeight="1">
      <c r="A7" s="1094" t="s">
        <v>243</v>
      </c>
      <c r="B7" s="1095"/>
      <c r="C7" s="1095"/>
      <c r="D7" s="1095"/>
      <c r="E7" s="1095"/>
      <c r="F7" s="1095"/>
      <c r="G7" s="1095"/>
      <c r="H7" s="177"/>
      <c r="I7" s="177"/>
      <c r="J7" s="177"/>
      <c r="K7" s="177"/>
      <c r="L7" s="177"/>
      <c r="M7" s="177"/>
      <c r="N7" s="178"/>
      <c r="O7" s="177"/>
      <c r="P7" s="178"/>
      <c r="Q7" s="177"/>
      <c r="R7" s="179"/>
      <c r="S7" s="179"/>
      <c r="T7" s="179"/>
      <c r="U7" s="179"/>
      <c r="V7" s="179"/>
      <c r="W7" s="179"/>
      <c r="X7" s="179"/>
      <c r="Y7" s="179"/>
      <c r="Z7" s="179"/>
    </row>
    <row r="8" spans="1:27" ht="21.75" customHeight="1">
      <c r="A8" s="180">
        <v>1</v>
      </c>
      <c r="B8" s="181" t="s">
        <v>502</v>
      </c>
      <c r="C8" s="182">
        <f>ROUND($G8*C$6,2)</f>
        <v>296.41000000000003</v>
      </c>
      <c r="D8" s="182">
        <f>ROUND($G8*D$6,2)</f>
        <v>1482.03</v>
      </c>
      <c r="E8" s="182">
        <f>ROUND($G8*E$6,2)</f>
        <v>2074.84</v>
      </c>
      <c r="F8" s="182">
        <f>ROUND($G8*F$6,2)</f>
        <v>2074.84</v>
      </c>
      <c r="G8" s="196">
        <f>'Cashflow 350 KTPA'!G8+[5]Capex!$D$22</f>
        <v>5928.1247678079999</v>
      </c>
      <c r="H8" s="183"/>
      <c r="I8" s="184"/>
      <c r="J8" s="183"/>
      <c r="K8" s="183"/>
      <c r="L8" s="183"/>
      <c r="M8" s="183"/>
      <c r="N8" s="185"/>
      <c r="O8" s="183"/>
      <c r="P8" s="183"/>
      <c r="Q8" s="183"/>
      <c r="R8" s="186"/>
      <c r="S8" s="186"/>
      <c r="T8" s="186"/>
      <c r="U8" s="186"/>
      <c r="V8" s="186"/>
      <c r="W8" s="186"/>
      <c r="X8" s="186"/>
      <c r="Y8" s="186"/>
      <c r="Z8" s="186"/>
    </row>
    <row r="9" spans="1:27" ht="21.75" customHeight="1">
      <c r="A9" s="52"/>
      <c r="B9" s="605" t="s">
        <v>595</v>
      </c>
      <c r="C9" s="606">
        <f t="shared" ref="C9:E9" si="0">$G$9*C6</f>
        <v>65</v>
      </c>
      <c r="D9" s="606">
        <f t="shared" si="0"/>
        <v>325</v>
      </c>
      <c r="E9" s="606">
        <f t="shared" si="0"/>
        <v>454.99999999999994</v>
      </c>
      <c r="F9" s="606">
        <f>$G$9*F6</f>
        <v>454.99999999999994</v>
      </c>
      <c r="G9" s="604">
        <v>1300</v>
      </c>
      <c r="H9" s="199"/>
      <c r="I9" s="262"/>
      <c r="J9" s="199"/>
      <c r="K9" s="199"/>
      <c r="L9" s="199"/>
      <c r="M9" s="199"/>
      <c r="N9" s="607"/>
      <c r="O9" s="199"/>
      <c r="P9" s="199"/>
      <c r="Q9" s="199"/>
    </row>
    <row r="10" spans="1:27" s="167" customFormat="1" ht="25.5" customHeight="1">
      <c r="A10" s="187"/>
      <c r="B10" s="188" t="s">
        <v>242</v>
      </c>
      <c r="C10" s="189">
        <f>SUM(C8:C9)</f>
        <v>361.41</v>
      </c>
      <c r="D10" s="189">
        <f t="shared" ref="D10:E10" si="1">SUM(D8:D9)</f>
        <v>1807.03</v>
      </c>
      <c r="E10" s="189">
        <f t="shared" si="1"/>
        <v>2529.84</v>
      </c>
      <c r="F10" s="189">
        <f>SUM(F8:F9)</f>
        <v>2529.84</v>
      </c>
      <c r="G10" s="242">
        <f>-G8-G9</f>
        <v>-7228.1247678079999</v>
      </c>
      <c r="H10" s="191"/>
      <c r="I10" s="191"/>
      <c r="J10" s="191"/>
      <c r="K10" s="191"/>
      <c r="L10" s="191"/>
      <c r="M10" s="191"/>
      <c r="N10" s="192"/>
      <c r="O10" s="192"/>
      <c r="P10" s="192"/>
      <c r="Q10" s="192"/>
      <c r="R10" s="193"/>
      <c r="S10" s="193"/>
      <c r="T10" s="193"/>
      <c r="U10" s="193"/>
      <c r="V10" s="193"/>
      <c r="W10" s="193"/>
      <c r="X10" s="193"/>
      <c r="Y10" s="193"/>
      <c r="Z10" s="193"/>
    </row>
    <row r="11" spans="1:27">
      <c r="A11" s="194">
        <v>2</v>
      </c>
      <c r="B11" s="195" t="s">
        <v>27</v>
      </c>
      <c r="C11" s="195"/>
      <c r="D11" s="195"/>
      <c r="E11" s="195"/>
      <c r="F11" s="195"/>
      <c r="G11" s="196"/>
      <c r="H11" s="197">
        <f>H12+H13+H14</f>
        <v>3866.6459050927083</v>
      </c>
      <c r="I11" s="197">
        <f t="shared" ref="I11:Z11" si="2">I12+I13+I14</f>
        <v>4883.2517743507169</v>
      </c>
      <c r="J11" s="197">
        <f t="shared" si="2"/>
        <v>5458.5355969153607</v>
      </c>
      <c r="K11" s="197">
        <f t="shared" si="2"/>
        <v>5774.4240194273025</v>
      </c>
      <c r="L11" s="197">
        <f t="shared" si="2"/>
        <v>6108.5943657642702</v>
      </c>
      <c r="M11" s="197">
        <f t="shared" si="2"/>
        <v>6462.1047704916282</v>
      </c>
      <c r="N11" s="197">
        <f t="shared" si="2"/>
        <v>6836.0746160351109</v>
      </c>
      <c r="O11" s="197">
        <f t="shared" si="2"/>
        <v>7231.6880781372065</v>
      </c>
      <c r="P11" s="197">
        <f t="shared" si="2"/>
        <v>7650.1978765642752</v>
      </c>
      <c r="Q11" s="197">
        <f t="shared" si="2"/>
        <v>8092.9292429475317</v>
      </c>
      <c r="R11" s="197">
        <f t="shared" si="2"/>
        <v>8561.2841183289256</v>
      </c>
      <c r="S11" s="197">
        <f t="shared" si="2"/>
        <v>9056.7455937109553</v>
      </c>
      <c r="T11" s="197">
        <f t="shared" si="2"/>
        <v>9580.882607679363</v>
      </c>
      <c r="U11" s="197">
        <f t="shared" si="2"/>
        <v>10135.354915982298</v>
      </c>
      <c r="V11" s="197">
        <f t="shared" si="2"/>
        <v>10721.918348811274</v>
      </c>
      <c r="W11" s="197">
        <f t="shared" si="2"/>
        <v>11342.430372441022</v>
      </c>
      <c r="X11" s="197">
        <f t="shared" si="2"/>
        <v>11998.855972849567</v>
      </c>
      <c r="Y11" s="197">
        <f t="shared" si="2"/>
        <v>12693.273879960481</v>
      </c>
      <c r="Z11" s="197">
        <f t="shared" si="2"/>
        <v>13427.883152228322</v>
      </c>
    </row>
    <row r="12" spans="1:27" s="167" customFormat="1">
      <c r="A12" s="52"/>
      <c r="B12" s="162" t="s">
        <v>87</v>
      </c>
      <c r="C12" s="162"/>
      <c r="D12" s="162"/>
      <c r="E12" s="162"/>
      <c r="F12" s="162"/>
      <c r="G12" s="198">
        <v>1</v>
      </c>
      <c r="H12" s="199">
        <f>IF(H$2&lt;=$C$48,0,Sales!E5*H$3*(1+$C$47)^(H$2-$C$48-1))</f>
        <v>1831.362974583333</v>
      </c>
      <c r="I12" s="199">
        <f>IF(I$2&lt;=$C$48,0,Sales!F5*I$3*(1+$C$47)^(I$2-$C$48-1))</f>
        <v>2490.0937716096746</v>
      </c>
      <c r="J12" s="199">
        <f>IF(J$2&lt;=$C$48,0,Sales!G5*J$3*(1+$C$47)^(J$2-$C$48-1))</f>
        <v>2925.9708524756611</v>
      </c>
      <c r="K12" s="199">
        <f>IF(K$2&lt;=$C$48,0,Sales!H5*K$3*(1+$C$47)^(K$2-$C$48-1))</f>
        <v>3094.3312153271104</v>
      </c>
      <c r="L12" s="199">
        <f>IF(L$2&lt;=$C$48,0,Sales!I5*L$3*(1+$C$47)^(L$2-$C$48-1))</f>
        <v>3272.3790334570317</v>
      </c>
      <c r="M12" s="199">
        <f>IF(M$2&lt;=$C$48,0,Sales!J5*M$3*(1+$C$47)^(M$2-$C$48-1))</f>
        <v>3460.6717230421491</v>
      </c>
      <c r="N12" s="199">
        <f>IF(N$2&lt;=$C$48,0,Sales!K5*N$3*(1+$C$47)^(N$2-$C$48-1))</f>
        <v>3659.7987739859932</v>
      </c>
      <c r="O12" s="199">
        <f>IF(O$2&lt;=$C$48,0,Sales!L5*O$3*(1+$C$47)^(O$2-$C$48-1))</f>
        <v>3870.3835954411475</v>
      </c>
      <c r="P12" s="199">
        <f>IF(P$2&lt;=$C$48,0,Sales!M5*P$3*(1+$C$47)^(P$2-$C$48-1))</f>
        <v>4093.0854675228293</v>
      </c>
      <c r="Q12" s="199">
        <f>IF(Q$2&lt;=$C$48,0,Sales!N5*Q$3*(1+$C$47)^(Q$2-$C$48-1))</f>
        <v>4328.6016053240928</v>
      </c>
      <c r="R12" s="199">
        <f>IF(R$2&lt;=$C$48,0,Sales!O5*R$3*(1+$C$47)^(R$2-$C$48-1))</f>
        <v>4577.6693416944408</v>
      </c>
      <c r="S12" s="199">
        <f>IF(S$2&lt;=$C$48,0,Sales!P5*S$3*(1+$C$47)^(S$2-$C$48-1))</f>
        <v>4841.0684356155389</v>
      </c>
      <c r="T12" s="199">
        <f>IF(T$2&lt;=$C$48,0,Sales!Q5*T$3*(1+$C$47)^(T$2-$C$48-1))</f>
        <v>5119.6235134008557</v>
      </c>
      <c r="U12" s="199">
        <f>IF(U$2&lt;=$C$48,0,Sales!R5*U$3*(1+$C$47)^(U$2-$C$48-1))</f>
        <v>5414.2066503619417</v>
      </c>
      <c r="V12" s="199">
        <f>IF(V$2&lt;=$C$48,0,Sales!S5*V$3*(1+$C$47)^(V$2-$C$48-1))</f>
        <v>5725.7401010237663</v>
      </c>
      <c r="W12" s="199">
        <f>IF(W$2&lt;=$C$48,0,Sales!T5*W$3*(1+$C$47)^(W$2-$C$48-1))</f>
        <v>6055.1991864366746</v>
      </c>
      <c r="X12" s="199">
        <f>IF(X$2&lt;=$C$48,0,Sales!U5*X$3*(1+$C$47)^(X$2-$C$48-1))</f>
        <v>6403.615347624238</v>
      </c>
      <c r="Y12" s="199">
        <f>IF(Y$2&lt;=$C$48,0,Sales!V5*Y$3*(1+$C$47)^(Y$2-$C$48-1))</f>
        <v>6772.0793747265361</v>
      </c>
      <c r="Z12" s="199">
        <f>IF(Z$2&lt;=$C$48,0,Sales!W5*Z$3*(1+$C$47)^(Z$2-$C$48-1))</f>
        <v>7161.7448219482994</v>
      </c>
    </row>
    <row r="13" spans="1:27">
      <c r="A13" s="52"/>
      <c r="B13" s="162" t="s">
        <v>460</v>
      </c>
      <c r="C13" s="162"/>
      <c r="D13" s="162"/>
      <c r="E13" s="162"/>
      <c r="F13" s="162"/>
      <c r="G13" s="201"/>
      <c r="H13" s="202">
        <v>1386.6910392857144</v>
      </c>
      <c r="I13" s="202">
        <v>1631.0337042469644</v>
      </c>
      <c r="J13" s="202">
        <v>1726.5878138102726</v>
      </c>
      <c r="K13" s="202">
        <v>1827.7399608823475</v>
      </c>
      <c r="L13" s="202">
        <v>1934.8181064906394</v>
      </c>
      <c r="M13" s="202">
        <v>2048.1694252593934</v>
      </c>
      <c r="N13" s="202">
        <v>2168.1614310382142</v>
      </c>
      <c r="O13" s="202">
        <v>2295.1831684755884</v>
      </c>
      <c r="P13" s="202">
        <v>2429.6464744007299</v>
      </c>
      <c r="Q13" s="202">
        <v>2571.9873131034965</v>
      </c>
      <c r="R13" s="202">
        <v>2722.6671898416648</v>
      </c>
      <c r="S13" s="202">
        <v>2882.1746471585388</v>
      </c>
      <c r="T13" s="202">
        <v>3051.026848862321</v>
      </c>
      <c r="U13" s="202">
        <v>3229.7712568029201</v>
      </c>
      <c r="V13" s="202">
        <v>3418.9874058827181</v>
      </c>
      <c r="W13" s="202">
        <v>3619.2887830563573</v>
      </c>
      <c r="X13" s="202">
        <v>3831.3248164117126</v>
      </c>
      <c r="Y13" s="202">
        <v>4055.7829807811931</v>
      </c>
      <c r="Z13" s="202">
        <v>4293.3910267102583</v>
      </c>
      <c r="AA13" s="202"/>
    </row>
    <row r="14" spans="1:27">
      <c r="A14" s="52"/>
      <c r="B14" s="162" t="s">
        <v>461</v>
      </c>
      <c r="C14" s="162"/>
      <c r="D14" s="162"/>
      <c r="E14" s="162"/>
      <c r="F14" s="162"/>
      <c r="G14" s="201"/>
      <c r="H14" s="202">
        <v>648.5918912236607</v>
      </c>
      <c r="I14" s="202">
        <v>762.12429849407783</v>
      </c>
      <c r="J14" s="202">
        <v>805.97693062942699</v>
      </c>
      <c r="K14" s="202">
        <v>852.35284321784422</v>
      </c>
      <c r="L14" s="202">
        <v>901.39722581659873</v>
      </c>
      <c r="M14" s="202">
        <v>953.26362219008581</v>
      </c>
      <c r="N14" s="202">
        <v>1008.1144110109032</v>
      </c>
      <c r="O14" s="202">
        <v>1066.1213142204706</v>
      </c>
      <c r="P14" s="202">
        <v>1127.4659346407161</v>
      </c>
      <c r="Q14" s="202">
        <v>1192.3403245199427</v>
      </c>
      <c r="R14" s="202">
        <v>1260.9475867928199</v>
      </c>
      <c r="S14" s="202">
        <v>1333.5025109368789</v>
      </c>
      <c r="T14" s="202">
        <v>1410.2322454161865</v>
      </c>
      <c r="U14" s="202">
        <v>1491.3770088174342</v>
      </c>
      <c r="V14" s="202">
        <v>1577.1908419047888</v>
      </c>
      <c r="W14" s="202">
        <v>1667.9424029479906</v>
      </c>
      <c r="X14" s="202">
        <v>1763.9158088136171</v>
      </c>
      <c r="Y14" s="202">
        <v>1865.4115244527527</v>
      </c>
      <c r="Z14" s="202">
        <v>1972.7473035697635</v>
      </c>
      <c r="AA14" s="202"/>
    </row>
    <row r="15" spans="1:27">
      <c r="A15" s="603"/>
      <c r="B15" s="17" t="s">
        <v>522</v>
      </c>
      <c r="C15" s="558"/>
      <c r="D15" s="558"/>
      <c r="E15" s="558"/>
      <c r="F15" s="558"/>
      <c r="G15" s="604"/>
      <c r="H15" s="199">
        <f>IF(H$2&lt;=$C$48,0,'Net Change in Margin'!$D$43*H$3*(1+$C$47)^(H$2-$C$48-1))</f>
        <v>-220.15035978869145</v>
      </c>
      <c r="I15" s="199">
        <f>IF(I$2&lt;=$C$48,0,'Net Change in Margin'!$D$43*I$3*(1+$C$47)^(I$2-$C$48-1))</f>
        <v>-295.78773340180618</v>
      </c>
      <c r="J15" s="199">
        <f>IF(J$2&lt;=$C$48,0,'Net Change in Margin'!$D$43*J$3*(1+$C$47)^(J$2-$C$48-1))</f>
        <v>-343.4424237832082</v>
      </c>
      <c r="K15" s="199">
        <f>IF(K$2&lt;=$C$48,0,'Net Change in Margin'!$D$43*K$3*(1+$C$47)^(K$2-$C$48-1))</f>
        <v>-358.89733285345261</v>
      </c>
      <c r="L15" s="199">
        <f>IF(L$2&lt;=$C$48,0,'Net Change in Margin'!$D$43*L$3*(1+$C$47)^(L$2-$C$48-1))</f>
        <v>-375.04771283185784</v>
      </c>
      <c r="M15" s="199">
        <f>IF(M$2&lt;=$C$48,0,'Net Change in Margin'!$D$43*M$3*(1+$C$47)^(M$2-$C$48-1))</f>
        <v>-391.92485990929146</v>
      </c>
      <c r="N15" s="199">
        <f>IF(N$2&lt;=$C$48,0,'Net Change in Margin'!$D$43*N$3*(1+$C$47)^(N$2-$C$48-1))</f>
        <v>-409.56147860520946</v>
      </c>
      <c r="O15" s="199">
        <f>IF(O$2&lt;=$C$48,0,'Net Change in Margin'!$D$43*O$3*(1+$C$47)^(O$2-$C$48-1))</f>
        <v>-427.9917451424439</v>
      </c>
      <c r="P15" s="199">
        <f>IF(P$2&lt;=$C$48,0,'Net Change in Margin'!$D$43*P$3*(1+$C$47)^(P$2-$C$48-1))</f>
        <v>-447.25137367385378</v>
      </c>
      <c r="Q15" s="199">
        <f>IF(Q$2&lt;=$C$48,0,'Net Change in Margin'!$D$43*Q$3*(1+$C$47)^(Q$2-$C$48-1))</f>
        <v>-467.37768548917717</v>
      </c>
      <c r="R15" s="199">
        <f>IF(R$2&lt;=$C$48,0,'Net Change in Margin'!$D$43*R$3*(1+$C$47)^(R$2-$C$48-1))</f>
        <v>-488.40968133619003</v>
      </c>
      <c r="S15" s="199">
        <f>IF(S$2&lt;=$C$48,0,'Net Change in Margin'!$D$43*S$3*(1+$C$47)^(S$2-$C$48-1))</f>
        <v>-510.38811699631862</v>
      </c>
      <c r="T15" s="199">
        <f>IF(T$2&lt;=$C$48,0,'Net Change in Margin'!$D$43*T$3*(1+$C$47)^(T$2-$C$48-1))</f>
        <v>-533.35558226115279</v>
      </c>
      <c r="U15" s="199">
        <f>IF(U$2&lt;=$C$48,0,'Net Change in Margin'!$D$43*U$3*(1+$C$47)^(U$2-$C$48-1))</f>
        <v>-557.35658346290472</v>
      </c>
      <c r="V15" s="199">
        <f>IF(V$2&lt;=$C$48,0,'Net Change in Margin'!$D$43*V$3*(1+$C$47)^(V$2-$C$48-1))</f>
        <v>-582.43762971873525</v>
      </c>
      <c r="W15" s="199">
        <f>IF(W$2&lt;=$C$48,0,'Net Change in Margin'!$D$43*W$3*(1+$C$47)^(W$2-$C$48-1))</f>
        <v>-608.64732305607845</v>
      </c>
      <c r="X15" s="199">
        <f>IF(X$2&lt;=$C$48,0,'Net Change in Margin'!$D$43*X$3*(1+$C$47)^(X$2-$C$48-1))</f>
        <v>-636.03645259360167</v>
      </c>
      <c r="Y15" s="199">
        <f>IF(Y$2&lt;=$C$48,0,'Net Change in Margin'!$D$43*Y$3*(1+$C$47)^(Y$2-$C$48-1))</f>
        <v>-664.65809296031375</v>
      </c>
      <c r="Z15" s="199">
        <f>IF(Z$2&lt;=$C$48,0,'Net Change in Margin'!$D$43*Z$3*(1+$C$47)^(Z$2-$C$48-1))</f>
        <v>-694.56770714352774</v>
      </c>
    </row>
    <row r="16" spans="1:27">
      <c r="A16" s="52"/>
      <c r="B16" s="17"/>
      <c r="C16" s="17"/>
      <c r="D16" s="17"/>
      <c r="E16" s="17"/>
      <c r="F16" s="17"/>
      <c r="G16" s="201"/>
      <c r="H16" s="199"/>
      <c r="I16" s="199"/>
      <c r="J16" s="199"/>
      <c r="K16" s="199"/>
      <c r="L16" s="199"/>
      <c r="M16" s="199"/>
      <c r="N16" s="199"/>
      <c r="O16" s="199"/>
      <c r="P16" s="199"/>
      <c r="Q16" s="199"/>
    </row>
    <row r="17" spans="1:26">
      <c r="A17" s="194">
        <v>3</v>
      </c>
      <c r="B17" s="195" t="s">
        <v>107</v>
      </c>
      <c r="C17" s="195"/>
      <c r="D17" s="195"/>
      <c r="E17" s="195"/>
      <c r="F17" s="195"/>
      <c r="G17" s="207"/>
      <c r="H17" s="183"/>
      <c r="I17" s="183"/>
      <c r="J17" s="183"/>
      <c r="K17" s="183"/>
      <c r="L17" s="183"/>
      <c r="M17" s="183"/>
      <c r="N17" s="183"/>
      <c r="O17" s="183"/>
      <c r="P17" s="183"/>
      <c r="Q17" s="183"/>
      <c r="R17" s="186"/>
      <c r="S17" s="186"/>
      <c r="T17" s="186"/>
      <c r="U17" s="186"/>
      <c r="V17" s="186"/>
      <c r="W17" s="186"/>
      <c r="X17" s="186"/>
      <c r="Y17" s="186"/>
      <c r="Z17" s="186"/>
    </row>
    <row r="18" spans="1:26">
      <c r="A18" s="52"/>
      <c r="B18" s="17" t="s">
        <v>12</v>
      </c>
      <c r="C18" s="17"/>
      <c r="D18" s="17"/>
      <c r="E18" s="17"/>
      <c r="F18" s="263"/>
      <c r="G18" s="208">
        <f t="shared" ref="G18:G23" si="3">J18/$J$24</f>
        <v>0.73264432624254716</v>
      </c>
      <c r="H18" s="199">
        <f>IF(H$2&lt;=$C$48,0,'Opex PVC'!E64*H$3*(1+$C$47)^(H$2-$C$48-1))+'Cashflow Phenol'!H14</f>
        <v>1737.9815164706479</v>
      </c>
      <c r="I18" s="199">
        <f>IF(I$2&lt;=$C$48,0,'Opex PVC'!F64*I$3*(1+$C$47)^(I$2-$C$48-1))+'Cashflow Phenol'!I14</f>
        <v>2141.4711350877678</v>
      </c>
      <c r="J18" s="899">
        <f>IF(J$2&lt;=$C$48,0,'Opex PVC'!G64*J$3*(1+$C$47)^(J$2-$C$48-1))+'Cashflow Phenol'!J14</f>
        <v>2352.3129350334357</v>
      </c>
      <c r="K18" s="199">
        <f>IF(K$2&lt;=$C$48,0,'Opex PVC'!H64*K$3*(1+$C$47)^(K$2-$C$48-1))+'Cashflow Phenol'!K14</f>
        <v>2490.0649396560043</v>
      </c>
      <c r="L18" s="199">
        <f>IF(L$2&lt;=$C$48,0,'Opex PVC'!I64*L$3*(1+$C$47)^(L$2-$C$48-1))+'Cashflow Phenol'!L14</f>
        <v>2633.4375274323902</v>
      </c>
      <c r="M18" s="199">
        <f>IF(M$2&lt;=$C$48,0,'Opex PVC'!J64*M$3*(1+$C$47)^(M$2-$C$48-1))+'Cashflow Phenol'!M14</f>
        <v>2786.3611016856557</v>
      </c>
      <c r="N18" s="199">
        <f>IF(N$2&lt;=$C$48,0,'Opex PVC'!K64*N$3*(1+$C$47)^(N$2-$C$48-1))+'Cashflow Phenol'!N14</f>
        <v>2947.8495441158739</v>
      </c>
      <c r="O18" s="199">
        <f>IF(O$2&lt;=$C$48,0,'Opex PVC'!L64*O$3*(1+$C$47)^(O$2-$C$48-1))+'Cashflow Phenol'!O14</f>
        <v>3119.1452291561518</v>
      </c>
      <c r="P18" s="199">
        <f>IF(P$2&lt;=$C$48,0,'Opex PVC'!M64*P$3*(1+$C$47)^(P$2-$C$48-1))+'Cashflow Phenol'!P14</f>
        <v>3302.1718684443622</v>
      </c>
      <c r="Q18" s="199">
        <f>IF(Q$2&lt;=$C$48,0,'Opex PVC'!N64*Q$3*(1+$C$47)^(Q$2-$C$48-1))+'Cashflow Phenol'!Q14</f>
        <v>3490.1700478287239</v>
      </c>
      <c r="R18" s="199">
        <f>IF(R$2&lt;=$C$48,0,'Opex PVC'!O64*R$3*(1+$C$47)^(R$2-$C$48-1))+'Cashflow Phenol'!R14</f>
        <v>3689.9339238800339</v>
      </c>
      <c r="S18" s="199">
        <f>IF(S$2&lt;=$C$48,0,'Opex PVC'!P64*S$3*(1+$C$47)^(S$2-$C$48-1))+'Cashflow Phenol'!S14</f>
        <v>3901.5523196258528</v>
      </c>
      <c r="T18" s="199">
        <f>IF(T$2&lt;=$C$48,0,'Opex PVC'!Q64*T$3*(1+$C$47)^(T$2-$C$48-1))+'Cashflow Phenol'!T14</f>
        <v>4123.8266278412375</v>
      </c>
      <c r="U18" s="199">
        <f>IF(U$2&lt;=$C$48,0,'Opex PVC'!R64*U$3*(1+$C$47)^(U$2-$C$48-1))+'Cashflow Phenol'!U14</f>
        <v>4358.4535737609267</v>
      </c>
      <c r="V18" s="199">
        <f>IF(V$2&lt;=$C$48,0,'Opex PVC'!S64*V$3*(1+$C$47)^(V$2-$C$48-1))+'Cashflow Phenol'!V14</f>
        <v>4606.2676585294357</v>
      </c>
      <c r="W18" s="199">
        <f>IF(W$2&lt;=$C$48,0,'Opex PVC'!T64*W$3*(1+$C$47)^(W$2-$C$48-1))+'Cashflow Phenol'!W14</f>
        <v>4870.4409897852966</v>
      </c>
      <c r="X18" s="199">
        <f>IF(X$2&lt;=$C$48,0,'Opex PVC'!U64*X$3*(1+$C$47)^(X$2-$C$48-1))+'Cashflow Phenol'!X14</f>
        <v>5150.3177684481989</v>
      </c>
      <c r="Y18" s="199">
        <f>IF(Y$2&lt;=$C$48,0,'Opex PVC'!V64*Y$3*(1+$C$47)^(Y$2-$C$48-1))+'Cashflow Phenol'!Y14</f>
        <v>5447.6408438298904</v>
      </c>
      <c r="Z18" s="199">
        <f>IF(Z$2&lt;=$C$48,0,'Opex PVC'!W64*Z$3*(1+$C$47)^(Z$2-$C$48-1))+'Cashflow Phenol'!Z14</f>
        <v>5760.0677662596026</v>
      </c>
    </row>
    <row r="19" spans="1:26">
      <c r="A19" s="52"/>
      <c r="B19" s="17" t="s">
        <v>14</v>
      </c>
      <c r="C19" s="17"/>
      <c r="D19" s="17"/>
      <c r="E19" s="17"/>
      <c r="F19" s="907">
        <f>'Cashflow - PVC Phenol Ethane'!J18+'Cashflow - PVC Phenol Ethane'!J19+'Cashflow - PVC Phenol Ethane'!J21+'Cashflow - PVC Phenol Ethane'!J23</f>
        <v>3049.9799836197408</v>
      </c>
      <c r="G19" s="208">
        <f t="shared" si="3"/>
        <v>4.6563449859167223E-2</v>
      </c>
      <c r="H19" s="199">
        <f>IF(H$2&lt;=$C$48,0,'Opex PVC'!E68*H$3*(1+$C$47)^(H$2-$C$48-1))</f>
        <v>92.910999999999987</v>
      </c>
      <c r="I19" s="199">
        <f>IF(I$2&lt;=$C$48,0,'Opex PVC'!F68*I$3*(1+$C$47)^(I$2-$C$48-1))</f>
        <v>126.76746975749997</v>
      </c>
      <c r="J19" s="899">
        <f>IF(J$2&lt;=$C$48,0,'Opex PVC'!G68*J$3*(1+$C$47)^(J$2-$C$48-1))</f>
        <v>149.50201821018209</v>
      </c>
      <c r="K19" s="199">
        <f>IF(K$2&lt;=$C$48,0,'Opex PVC'!H68*K$3*(1+$C$47)^(K$2-$C$48-1))</f>
        <v>158.46369243876413</v>
      </c>
      <c r="L19" s="199">
        <f>IF(L$2&lt;=$C$48,0,'Opex PVC'!I68*L$3*(1+$C$47)^(L$2-$C$48-1))</f>
        <v>167.91288241888759</v>
      </c>
      <c r="M19" s="199">
        <f>IF(M$2&lt;=$C$48,0,'Opex PVC'!J68*M$3*(1+$C$47)^(M$2-$C$48-1))</f>
        <v>177.8202462202492</v>
      </c>
      <c r="N19" s="199">
        <f>IF(N$2&lt;=$C$48,0,'Opex PVC'!K68*N$3*(1+$C$47)^(N$2-$C$48-1))</f>
        <v>188.31217420798251</v>
      </c>
      <c r="O19" s="199">
        <f>IF(O$2&lt;=$C$48,0,'Opex PVC'!L68*O$3*(1+$C$47)^(O$2-$C$48-1))</f>
        <v>199.42315742277611</v>
      </c>
      <c r="P19" s="199">
        <f>IF(P$2&lt;=$C$48,0,'Opex PVC'!M68*P$3*(1+$C$47)^(P$2-$C$48-1))</f>
        <v>211.18972198019213</v>
      </c>
      <c r="Q19" s="199">
        <f>IF(Q$2&lt;=$C$48,0,'Opex PVC'!N68*Q$3*(1+$C$47)^(Q$2-$C$48-1))</f>
        <v>223.65054914618941</v>
      </c>
      <c r="R19" s="199">
        <f>IF(R$2&lt;=$C$48,0,'Opex PVC'!O68*R$3*(1+$C$47)^(R$2-$C$48-1))</f>
        <v>236.84660249746196</v>
      </c>
      <c r="S19" s="199">
        <f>IF(S$2&lt;=$C$48,0,'Opex PVC'!P68*S$3*(1+$C$47)^(S$2-$C$48-1))</f>
        <v>250.82126258461975</v>
      </c>
      <c r="T19" s="199">
        <f>IF(T$2&lt;=$C$48,0,'Opex PVC'!Q68*T$3*(1+$C$47)^(T$2-$C$48-1))</f>
        <v>265.62046954089999</v>
      </c>
      <c r="U19" s="199">
        <f>IF(U$2&lt;=$C$48,0,'Opex PVC'!R68*U$3*(1+$C$47)^(U$2-$C$48-1))</f>
        <v>281.29287410522176</v>
      </c>
      <c r="V19" s="199">
        <f>IF(V$2&lt;=$C$48,0,'Opex PVC'!S68*V$3*(1+$C$47)^(V$2-$C$48-1))</f>
        <v>297.88999755605204</v>
      </c>
      <c r="W19" s="199">
        <f>IF(W$2&lt;=$C$48,0,'Opex PVC'!T68*W$3*(1+$C$47)^(W$2-$C$48-1))</f>
        <v>315.46640108185181</v>
      </c>
      <c r="X19" s="199">
        <f>IF(X$2&lt;=$C$48,0,'Opex PVC'!U68*X$3*(1+$C$47)^(X$2-$C$48-1))</f>
        <v>334.07986514488414</v>
      </c>
      <c r="Y19" s="199">
        <f>IF(Y$2&lt;=$C$48,0,'Opex PVC'!V68*Y$3*(1+$C$47)^(Y$2-$C$48-1))</f>
        <v>353.79157942802772</v>
      </c>
      <c r="Z19" s="199">
        <f>IF(Z$2&lt;=$C$48,0,'Opex PVC'!W68*Z$3*(1+$C$47)^(Z$2-$C$48-1))</f>
        <v>374.66634398901959</v>
      </c>
    </row>
    <row r="20" spans="1:26">
      <c r="A20" s="52"/>
      <c r="B20" s="17" t="s">
        <v>15</v>
      </c>
      <c r="C20" s="17"/>
      <c r="D20" s="17"/>
      <c r="E20" s="17"/>
      <c r="F20" s="907">
        <f>'Cashflow - PVC Phenol Ethane'!J20+'Cashflow - PVC Phenol Ethane'!J22</f>
        <v>160.73611800838478</v>
      </c>
      <c r="G20" s="208">
        <f t="shared" si="3"/>
        <v>1.6805271329545114E-2</v>
      </c>
      <c r="H20" s="199">
        <f>IF(H$2&lt;=$C$48,0,'Opex PVC'!$E$69*(1+$C$47)^(H$2-$C$48-1))+'Cashflow Phenol'!H15</f>
        <v>49.41</v>
      </c>
      <c r="I20" s="199">
        <f>IF(I$2&lt;=$C$48,0,'Opex PVC'!$E$69*(1+$C$47)^(I$2-$C$48-1))+'Cashflow Phenol'!I15</f>
        <v>51.633449999999996</v>
      </c>
      <c r="J20" s="899">
        <f>IF(J$2&lt;=$C$48,0,'Opex PVC'!$E$69*(1+$C$47)^(J$2-$C$48-1))+'Cashflow Phenol'!J15</f>
        <v>53.956955249999993</v>
      </c>
      <c r="K20" s="199">
        <f>IF(K$2&lt;=$C$48,0,'Opex PVC'!$E$69*(1+$C$47)^(K$2-$C$48-1))+'Cashflow Phenol'!K15</f>
        <v>56.385018236249991</v>
      </c>
      <c r="L20" s="199">
        <f>IF(L$2&lt;=$C$48,0,'Opex PVC'!$E$69*(1+$C$47)^(L$2-$C$48-1))+'Cashflow Phenol'!L15</f>
        <v>58.922344056881229</v>
      </c>
      <c r="M20" s="199">
        <f>IF(M$2&lt;=$C$48,0,'Opex PVC'!$E$69*(1+$C$47)^(M$2-$C$48-1))+'Cashflow Phenol'!M15</f>
        <v>61.573849539440886</v>
      </c>
      <c r="N20" s="199">
        <f>IF(N$2&lt;=$C$48,0,'Opex PVC'!$E$69*(1+$C$47)^(N$2-$C$48-1))+'Cashflow Phenol'!N15</f>
        <v>64.344672768715697</v>
      </c>
      <c r="O20" s="199">
        <f>IF(O$2&lt;=$C$48,0,'Opex PVC'!$E$69*(1+$C$47)^(O$2-$C$48-1))+'Cashflow Phenol'!O15</f>
        <v>67.240183043307923</v>
      </c>
      <c r="P20" s="199">
        <f>IF(P$2&lt;=$C$48,0,'Opex PVC'!$E$69*(1+$C$47)^(P$2-$C$48-1))+'Cashflow Phenol'!P15</f>
        <v>70.265991280256742</v>
      </c>
      <c r="Q20" s="199">
        <f>IF(Q$2&lt;=$C$48,0,'Opex PVC'!$E$69*(1+$C$47)^(Q$2-$C$48-1))+'Cashflow Phenol'!Q15</f>
        <v>73.427960887868295</v>
      </c>
      <c r="R20" s="199">
        <f>IF(R$2&lt;=$C$48,0,'Opex PVC'!$E$69*(1+$C$47)^(R$2-$C$48-1))+'Cashflow Phenol'!R15</f>
        <v>76.732219127822361</v>
      </c>
      <c r="S20" s="199">
        <f>IF(S$2&lt;=$C$48,0,'Opex PVC'!$E$69*(1+$C$47)^(S$2-$C$48-1))+'Cashflow Phenol'!S15</f>
        <v>80.185168988574361</v>
      </c>
      <c r="T20" s="199">
        <f>IF(T$2&lt;=$C$48,0,'Opex PVC'!$E$69*(1+$C$47)^(T$2-$C$48-1))+'Cashflow Phenol'!T15</f>
        <v>83.793501593060199</v>
      </c>
      <c r="U20" s="199">
        <f>IF(U$2&lt;=$C$48,0,'Opex PVC'!$E$69*(1+$C$47)^(U$2-$C$48-1))+'Cashflow Phenol'!U15</f>
        <v>87.564209164747908</v>
      </c>
      <c r="V20" s="199">
        <f>IF(V$2&lt;=$C$48,0,'Opex PVC'!$E$69*(1+$C$47)^(V$2-$C$48-1))+'Cashflow Phenol'!V15</f>
        <v>91.504598577161545</v>
      </c>
      <c r="W20" s="199">
        <f>IF(W$2&lt;=$C$48,0,'Opex PVC'!$E$69*(1+$C$47)^(W$2-$C$48-1))+'Cashflow Phenol'!W15</f>
        <v>95.622305513133824</v>
      </c>
      <c r="X20" s="199">
        <f>IF(X$2&lt;=$C$48,0,'Opex PVC'!$E$69*(1+$C$47)^(X$2-$C$48-1))+'Cashflow Phenol'!X15</f>
        <v>99.925309261224797</v>
      </c>
      <c r="Y20" s="199">
        <f>IF(Y$2&lt;=$C$48,0,'Opex PVC'!$E$69*(1+$C$47)^(Y$2-$C$48-1))+'Cashflow Phenol'!Y15</f>
        <v>104.42194817797991</v>
      </c>
      <c r="Z20" s="199">
        <f>IF(Z$2&lt;=$C$48,0,'Opex PVC'!$E$69*(1+$C$47)^(Z$2-$C$48-1))+'Cashflow Phenol'!Z15</f>
        <v>109.12093584598898</v>
      </c>
    </row>
    <row r="21" spans="1:26">
      <c r="A21" s="52"/>
      <c r="B21" s="17" t="s">
        <v>17</v>
      </c>
      <c r="C21" s="17"/>
      <c r="D21" s="17"/>
      <c r="E21" s="17"/>
      <c r="F21" s="17"/>
      <c r="G21" s="208">
        <f t="shared" si="3"/>
        <v>0.1172219543357159</v>
      </c>
      <c r="H21" s="199">
        <f>IF(H$2&lt;=$C$48,0,'Opex PVC'!$E$71*(1+$C$47)^(H$2-$C$48-1))+'Cashflow Phenol'!H16</f>
        <v>325.90499999999997</v>
      </c>
      <c r="I21" s="199">
        <f>IF(I$2&lt;=$C$48,0,'Opex PVC'!$E$71*(1+$C$47)^(I$2-$C$48-1))+'Cashflow Phenol'!I16</f>
        <v>360.15924999999993</v>
      </c>
      <c r="J21" s="899">
        <f>IF(J$2&lt;=$C$48,0,'Opex PVC'!$E$71*(1+$C$47)^(J$2-$C$48-1))+'Cashflow Phenol'!J16</f>
        <v>376.36641624999993</v>
      </c>
      <c r="K21" s="199">
        <f>IF(K$2&lt;=$C$48,0,'Opex PVC'!$E$71*(1+$C$47)^(K$2-$C$48-1))+'Cashflow Phenol'!K16</f>
        <v>393.30290498124987</v>
      </c>
      <c r="L21" s="199">
        <f>IF(L$2&lt;=$C$48,0,'Opex PVC'!$E$71*(1+$C$47)^(L$2-$C$48-1))+'Cashflow Phenol'!L16</f>
        <v>411.00153570540601</v>
      </c>
      <c r="M21" s="199">
        <f>IF(M$2&lt;=$C$48,0,'Opex PVC'!$E$71*(1+$C$47)^(M$2-$C$48-1))+'Cashflow Phenol'!M16</f>
        <v>429.49660481214931</v>
      </c>
      <c r="N21" s="199">
        <f>IF(N$2&lt;=$C$48,0,'Opex PVC'!$E$71*(1+$C$47)^(N$2-$C$48-1))+'Cashflow Phenol'!N16</f>
        <v>448.82395202869594</v>
      </c>
      <c r="O21" s="199">
        <f>IF(O$2&lt;=$C$48,0,'Opex PVC'!$E$71*(1+$C$47)^(O$2-$C$48-1))+'Cashflow Phenol'!O16</f>
        <v>469.02102986998727</v>
      </c>
      <c r="P21" s="199">
        <f>IF(P$2&lt;=$C$48,0,'Opex PVC'!$E$71*(1+$C$47)^(P$2-$C$48-1))+'Cashflow Phenol'!P16</f>
        <v>490.12697621413656</v>
      </c>
      <c r="Q21" s="199">
        <f>IF(Q$2&lt;=$C$48,0,'Opex PVC'!$E$71*(1+$C$47)^(Q$2-$C$48-1))+'Cashflow Phenol'!Q16</f>
        <v>512.18269014377267</v>
      </c>
      <c r="R21" s="199">
        <f>IF(R$2&lt;=$C$48,0,'Opex PVC'!$E$71*(1+$C$47)^(R$2-$C$48-1))+'Cashflow Phenol'!R16</f>
        <v>535.2309112002423</v>
      </c>
      <c r="S21" s="199">
        <f>IF(S$2&lt;=$C$48,0,'Opex PVC'!$E$71*(1+$C$47)^(S$2-$C$48-1))+'Cashflow Phenol'!S16</f>
        <v>559.31630220425325</v>
      </c>
      <c r="T21" s="199">
        <f>IF(T$2&lt;=$C$48,0,'Opex PVC'!$E$71*(1+$C$47)^(T$2-$C$48-1))+'Cashflow Phenol'!T16</f>
        <v>584.48553580344446</v>
      </c>
      <c r="U21" s="199">
        <f>IF(U$2&lt;=$C$48,0,'Opex PVC'!$E$71*(1+$C$47)^(U$2-$C$48-1))+'Cashflow Phenol'!U16</f>
        <v>610.78738491459956</v>
      </c>
      <c r="V21" s="199">
        <f>IF(V$2&lt;=$C$48,0,'Opex PVC'!$E$71*(1+$C$47)^(V$2-$C$48-1))+'Cashflow Phenol'!V16</f>
        <v>638.27281723575629</v>
      </c>
      <c r="W21" s="199">
        <f>IF(W$2&lt;=$C$48,0,'Opex PVC'!$E$71*(1+$C$47)^(W$2-$C$48-1))+'Cashflow Phenol'!W16</f>
        <v>666.9950940113655</v>
      </c>
      <c r="X21" s="199">
        <f>IF(X$2&lt;=$C$48,0,'Opex PVC'!$E$71*(1+$C$47)^(X$2-$C$48-1))+'Cashflow Phenol'!X16</f>
        <v>697.00987324187668</v>
      </c>
      <c r="Y21" s="199">
        <f>IF(Y$2&lt;=$C$48,0,'Opex PVC'!$E$71*(1+$C$47)^(Y$2-$C$48-1))+'Cashflow Phenol'!Y16</f>
        <v>728.37531753776113</v>
      </c>
      <c r="Z21" s="199">
        <f>IF(Z$2&lt;=$C$48,0,'Opex PVC'!$E$71*(1+$C$47)^(Z$2-$C$48-1))+'Cashflow Phenol'!Z16</f>
        <v>761.1522068269602</v>
      </c>
    </row>
    <row r="22" spans="1:26" s="167" customFormat="1">
      <c r="A22" s="52"/>
      <c r="B22" s="17" t="s">
        <v>20</v>
      </c>
      <c r="C22" s="17"/>
      <c r="D22" s="17"/>
      <c r="E22" s="17"/>
      <c r="F22" s="17"/>
      <c r="G22" s="208">
        <f t="shared" si="3"/>
        <v>3.3257117533449322E-2</v>
      </c>
      <c r="H22" s="199">
        <f>IF(H$2&lt;=$C$48,0,'Opex PVC'!$E$74*(1+$C$47)^(H$2-$C$48-1))+'Cashflow Phenol'!H17</f>
        <v>94.911727505903997</v>
      </c>
      <c r="I22" s="199">
        <f>IF(I$2&lt;=$C$48,0,'Opex PVC'!$E$74*(1+$C$47)^(I$2-$C$48-1))+'Cashflow Phenol'!I17</f>
        <v>102.18101699366967</v>
      </c>
      <c r="J22" s="899">
        <f>IF(J$2&lt;=$C$48,0,'Opex PVC'!$E$74*(1+$C$47)^(J$2-$C$48-1))+'Cashflow Phenol'!J17</f>
        <v>106.7791627583848</v>
      </c>
      <c r="K22" s="199">
        <f>IF(K$2&lt;=$C$48,0,'Opex PVC'!$E$74*(1+$C$47)^(K$2-$C$48-1))+'Cashflow Phenol'!K17</f>
        <v>111.58422508251212</v>
      </c>
      <c r="L22" s="199">
        <f>IF(L$2&lt;=$C$48,0,'Opex PVC'!$E$74*(1+$C$47)^(L$2-$C$48-1))+'Cashflow Phenol'!L17</f>
        <v>116.60551521122512</v>
      </c>
      <c r="M22" s="199">
        <f>IF(M$2&lt;=$C$48,0,'Opex PVC'!$E$74*(1+$C$47)^(M$2-$C$48-1))+'Cashflow Phenol'!M17</f>
        <v>121.85276339573025</v>
      </c>
      <c r="N22" s="199">
        <f>IF(N$2&lt;=$C$48,0,'Opex PVC'!$E$74*(1+$C$47)^(N$2-$C$48-1))+'Cashflow Phenol'!N17</f>
        <v>127.33613774853808</v>
      </c>
      <c r="O22" s="199">
        <f>IF(O$2&lt;=$C$48,0,'Opex PVC'!$E$74*(1+$C$47)^(O$2-$C$48-1))+'Cashflow Phenol'!O17</f>
        <v>133.0662639472223</v>
      </c>
      <c r="P22" s="199">
        <f>IF(P$2&lt;=$C$48,0,'Opex PVC'!$E$74*(1+$C$47)^(P$2-$C$48-1))+'Cashflow Phenol'!P17</f>
        <v>139.05424582484727</v>
      </c>
      <c r="Q22" s="199">
        <f>IF(Q$2&lt;=$C$48,0,'Opex PVC'!$E$74*(1+$C$47)^(Q$2-$C$48-1))+'Cashflow Phenol'!Q17</f>
        <v>145.31168688696539</v>
      </c>
      <c r="R22" s="199">
        <f>IF(R$2&lt;=$C$48,0,'Opex PVC'!$E$74*(1+$C$47)^(R$2-$C$48-1))+'Cashflow Phenol'!R17</f>
        <v>151.85071279687881</v>
      </c>
      <c r="S22" s="199">
        <f>IF(S$2&lt;=$C$48,0,'Opex PVC'!$E$74*(1+$C$47)^(S$2-$C$48-1))+'Cashflow Phenol'!S17</f>
        <v>158.68399487273837</v>
      </c>
      <c r="T22" s="199">
        <f>IF(T$2&lt;=$C$48,0,'Opex PVC'!$E$74*(1+$C$47)^(T$2-$C$48-1))+'Cashflow Phenol'!T17</f>
        <v>165.82477464201153</v>
      </c>
      <c r="U22" s="199">
        <f>IF(U$2&lt;=$C$48,0,'Opex PVC'!$E$74*(1+$C$47)^(U$2-$C$48-1))+'Cashflow Phenol'!U17</f>
        <v>173.28688950090208</v>
      </c>
      <c r="V22" s="199">
        <f>IF(V$2&lt;=$C$48,0,'Opex PVC'!$E$74*(1+$C$47)^(V$2-$C$48-1))+'Cashflow Phenol'!V17</f>
        <v>181.0847995284426</v>
      </c>
      <c r="W22" s="199">
        <f>IF(W$2&lt;=$C$48,0,'Opex PVC'!$E$74*(1+$C$47)^(W$2-$C$48-1))+'Cashflow Phenol'!W17</f>
        <v>189.23361550722254</v>
      </c>
      <c r="X22" s="199">
        <f>IF(X$2&lt;=$C$48,0,'Opex PVC'!$E$74*(1+$C$47)^(X$2-$C$48-1))+'Cashflow Phenol'!X17</f>
        <v>197.7491282050475</v>
      </c>
      <c r="Y22" s="199">
        <f>IF(Y$2&lt;=$C$48,0,'Opex PVC'!$E$74*(1+$C$47)^(Y$2-$C$48-1))+'Cashflow Phenol'!Y17</f>
        <v>206.64783897427463</v>
      </c>
      <c r="Z22" s="199">
        <f>IF(Z$2&lt;=$C$48,0,'Opex PVC'!$E$74*(1+$C$47)^(Z$2-$C$48-1))+'Cashflow Phenol'!Z17</f>
        <v>215.94699172811696</v>
      </c>
    </row>
    <row r="23" spans="1:26">
      <c r="A23" s="52"/>
      <c r="B23" s="17" t="s">
        <v>21</v>
      </c>
      <c r="C23" s="17"/>
      <c r="D23" s="17"/>
      <c r="E23" s="17"/>
      <c r="F23" s="17"/>
      <c r="G23" s="208">
        <f t="shared" si="3"/>
        <v>5.3507880699575308E-2</v>
      </c>
      <c r="H23" s="199">
        <f>IF(H$2&lt;=$C$48,0,'Opex PVC'!$E$77*(1+$C$47)^(H$2-$C$48-1))+'Cashflow Phenol'!H18</f>
        <v>149.84313653636434</v>
      </c>
      <c r="I23" s="199">
        <f>IF(I$2&lt;=$C$48,0,'Opex PVC'!$E$77*(1+$C$47)^(I$2-$C$48-1))+'Cashflow Phenol'!I18</f>
        <v>164.40058768050073</v>
      </c>
      <c r="J23" s="899">
        <f>IF(J$2&lt;=$C$48,0,'Opex PVC'!$E$77*(1+$C$47)^(J$2-$C$48-1))+'Cashflow Phenol'!J18</f>
        <v>171.79861412612325</v>
      </c>
      <c r="K23" s="199">
        <f>IF(K$2&lt;=$C$48,0,'Opex PVC'!$E$77*(1+$C$47)^(K$2-$C$48-1))+'Cashflow Phenol'!K18</f>
        <v>179.52955176179879</v>
      </c>
      <c r="L23" s="199">
        <f>IF(L$2&lt;=$C$48,0,'Opex PVC'!$E$77*(1+$C$47)^(L$2-$C$48-1))+'Cashflow Phenol'!L18</f>
        <v>187.60838159107971</v>
      </c>
      <c r="M23" s="199">
        <f>IF(M$2&lt;=$C$48,0,'Opex PVC'!$E$77*(1+$C$47)^(M$2-$C$48-1))+'Cashflow Phenol'!M18</f>
        <v>196.05075876267827</v>
      </c>
      <c r="N23" s="199">
        <f>IF(N$2&lt;=$C$48,0,'Opex PVC'!$E$77*(1+$C$47)^(N$2-$C$48-1))+'Cashflow Phenol'!N18</f>
        <v>204.87304290699876</v>
      </c>
      <c r="O23" s="199">
        <f>IF(O$2&lt;=$C$48,0,'Opex PVC'!$E$77*(1+$C$47)^(O$2-$C$48-1))+'Cashflow Phenol'!O18</f>
        <v>214.09232983781371</v>
      </c>
      <c r="P23" s="199">
        <f>IF(P$2&lt;=$C$48,0,'Opex PVC'!$E$77*(1+$C$47)^(P$2-$C$48-1))+'Cashflow Phenol'!P18</f>
        <v>223.72648468051526</v>
      </c>
      <c r="Q23" s="199">
        <f>IF(Q$2&lt;=$C$48,0,'Opex PVC'!$E$77*(1+$C$47)^(Q$2-$C$48-1))+'Cashflow Phenol'!Q18</f>
        <v>233.79417649113844</v>
      </c>
      <c r="R23" s="199">
        <f>IF(R$2&lt;=$C$48,0,'Opex PVC'!$E$77*(1+$C$47)^(R$2-$C$48-1))+'Cashflow Phenol'!R18</f>
        <v>244.31491443323961</v>
      </c>
      <c r="S23" s="199">
        <f>IF(S$2&lt;=$C$48,0,'Opex PVC'!$E$77*(1+$C$47)^(S$2-$C$48-1))+'Cashflow Phenol'!S18</f>
        <v>255.30908558273541</v>
      </c>
      <c r="T23" s="199">
        <f>IF(T$2&lt;=$C$48,0,'Opex PVC'!$E$77*(1+$C$47)^(T$2-$C$48-1))+'Cashflow Phenol'!T18</f>
        <v>266.79799443395842</v>
      </c>
      <c r="U23" s="199">
        <f>IF(U$2&lt;=$C$48,0,'Opex PVC'!$E$77*(1+$C$47)^(U$2-$C$48-1))+'Cashflow Phenol'!U18</f>
        <v>278.80390418348657</v>
      </c>
      <c r="V23" s="199">
        <f>IF(V$2&lt;=$C$48,0,'Opex PVC'!$E$77*(1+$C$47)^(V$2-$C$48-1))+'Cashflow Phenol'!V18</f>
        <v>291.35007987174339</v>
      </c>
      <c r="W23" s="199">
        <f>IF(W$2&lt;=$C$48,0,'Opex PVC'!$E$77*(1+$C$47)^(W$2-$C$48-1))+'Cashflow Phenol'!W18</f>
        <v>304.46083346597186</v>
      </c>
      <c r="X23" s="199">
        <f>IF(X$2&lt;=$C$48,0,'Opex PVC'!$E$77*(1+$C$47)^(X$2-$C$48-1))+'Cashflow Phenol'!X18</f>
        <v>318.16157097194048</v>
      </c>
      <c r="Y23" s="199">
        <f>IF(Y$2&lt;=$C$48,0,'Opex PVC'!$E$77*(1+$C$47)^(Y$2-$C$48-1))+'Cashflow Phenol'!Y18</f>
        <v>332.47884166567781</v>
      </c>
      <c r="Z23" s="199">
        <f>IF(Z$2&lt;=$C$48,0,'Opex PVC'!$E$77*(1+$C$47)^(Z$2-$C$48-1))+'Cashflow Phenol'!Z18</f>
        <v>347.44038954063325</v>
      </c>
    </row>
    <row r="24" spans="1:26" s="167" customFormat="1">
      <c r="A24" s="187"/>
      <c r="B24" s="209" t="s">
        <v>30</v>
      </c>
      <c r="C24" s="209"/>
      <c r="D24" s="209"/>
      <c r="E24" s="209"/>
      <c r="F24" s="209"/>
      <c r="G24" s="210"/>
      <c r="H24" s="192">
        <f t="shared" ref="H24:Q24" si="4">SUM(H18:H23)</f>
        <v>2450.9623805129163</v>
      </c>
      <c r="I24" s="192">
        <f t="shared" si="4"/>
        <v>2946.6129095194378</v>
      </c>
      <c r="J24" s="900">
        <f t="shared" si="4"/>
        <v>3210.7161016281257</v>
      </c>
      <c r="K24" s="192">
        <f t="shared" si="4"/>
        <v>3389.3303321565791</v>
      </c>
      <c r="L24" s="192">
        <f t="shared" si="4"/>
        <v>3575.4881864158701</v>
      </c>
      <c r="M24" s="192">
        <f t="shared" si="4"/>
        <v>3773.1553244159036</v>
      </c>
      <c r="N24" s="192">
        <f t="shared" si="4"/>
        <v>3981.5395237768048</v>
      </c>
      <c r="O24" s="192">
        <f t="shared" si="4"/>
        <v>4201.9881932772587</v>
      </c>
      <c r="P24" s="192">
        <f t="shared" si="4"/>
        <v>4436.5352884243102</v>
      </c>
      <c r="Q24" s="192">
        <f t="shared" si="4"/>
        <v>4678.5371113846586</v>
      </c>
      <c r="R24" s="192">
        <f t="shared" ref="R24:Z24" si="5">SUM(R18:R23)</f>
        <v>4934.9092839356781</v>
      </c>
      <c r="S24" s="192">
        <f t="shared" si="5"/>
        <v>5205.8681338587739</v>
      </c>
      <c r="T24" s="192">
        <f t="shared" si="5"/>
        <v>5490.3489038546113</v>
      </c>
      <c r="U24" s="192">
        <f t="shared" si="5"/>
        <v>5790.188835629885</v>
      </c>
      <c r="V24" s="192">
        <f t="shared" si="5"/>
        <v>6106.3699512985913</v>
      </c>
      <c r="W24" s="192">
        <f t="shared" si="5"/>
        <v>6442.219239364842</v>
      </c>
      <c r="X24" s="192">
        <f t="shared" si="5"/>
        <v>6797.2435152731723</v>
      </c>
      <c r="Y24" s="192">
        <f t="shared" si="5"/>
        <v>7173.3563696136116</v>
      </c>
      <c r="Z24" s="192">
        <f t="shared" si="5"/>
        <v>7568.394634190322</v>
      </c>
    </row>
    <row r="25" spans="1:26" s="906" customFormat="1">
      <c r="A25" s="901"/>
      <c r="B25" s="902" t="s">
        <v>11</v>
      </c>
      <c r="C25" s="902"/>
      <c r="D25" s="902"/>
      <c r="E25" s="902"/>
      <c r="F25" s="902"/>
      <c r="G25" s="903"/>
      <c r="H25" s="904"/>
      <c r="I25" s="904"/>
      <c r="J25" s="904">
        <f>J24-J23</f>
        <v>3038.9174875020026</v>
      </c>
      <c r="K25" s="904"/>
      <c r="L25" s="904"/>
      <c r="M25" s="904"/>
      <c r="N25" s="904"/>
      <c r="O25" s="904"/>
      <c r="P25" s="904"/>
      <c r="Q25" s="904"/>
      <c r="R25" s="905"/>
      <c r="S25" s="905"/>
      <c r="T25" s="905"/>
      <c r="U25" s="905"/>
      <c r="V25" s="905"/>
      <c r="W25" s="905"/>
      <c r="X25" s="905"/>
      <c r="Y25" s="905"/>
      <c r="Z25" s="905"/>
    </row>
    <row r="26" spans="1:26">
      <c r="A26" s="203">
        <v>4</v>
      </c>
      <c r="B26" s="204" t="s">
        <v>396</v>
      </c>
      <c r="C26" s="204"/>
      <c r="D26" s="204"/>
      <c r="E26" s="204"/>
      <c r="F26" s="204"/>
      <c r="G26" s="205"/>
      <c r="H26" s="206">
        <f t="shared" ref="H26:Z26" si="6">H11-H24</f>
        <v>1415.683524579792</v>
      </c>
      <c r="I26" s="206">
        <f t="shared" si="6"/>
        <v>1936.6388648312791</v>
      </c>
      <c r="J26" s="206">
        <f t="shared" si="6"/>
        <v>2247.819495287235</v>
      </c>
      <c r="K26" s="206">
        <f t="shared" si="6"/>
        <v>2385.0936872707234</v>
      </c>
      <c r="L26" s="206">
        <f t="shared" si="6"/>
        <v>2533.1061793484</v>
      </c>
      <c r="M26" s="206">
        <f t="shared" si="6"/>
        <v>2688.9494460757246</v>
      </c>
      <c r="N26" s="206">
        <f t="shared" si="6"/>
        <v>2854.5350922583061</v>
      </c>
      <c r="O26" s="206">
        <f t="shared" si="6"/>
        <v>3029.6998848599478</v>
      </c>
      <c r="P26" s="206">
        <f t="shared" si="6"/>
        <v>3213.662588139965</v>
      </c>
      <c r="Q26" s="206">
        <f t="shared" si="6"/>
        <v>3414.3921315628731</v>
      </c>
      <c r="R26" s="206">
        <f t="shared" si="6"/>
        <v>3626.3748343932475</v>
      </c>
      <c r="S26" s="206">
        <f t="shared" si="6"/>
        <v>3850.8774598521813</v>
      </c>
      <c r="T26" s="206">
        <f t="shared" si="6"/>
        <v>4090.5337038247517</v>
      </c>
      <c r="U26" s="206">
        <f t="shared" si="6"/>
        <v>4345.1660803524128</v>
      </c>
      <c r="V26" s="206">
        <f t="shared" si="6"/>
        <v>4615.5483975126826</v>
      </c>
      <c r="W26" s="206">
        <f t="shared" si="6"/>
        <v>4900.21113307618</v>
      </c>
      <c r="X26" s="206">
        <f t="shared" si="6"/>
        <v>5201.6124575763952</v>
      </c>
      <c r="Y26" s="206">
        <f t="shared" si="6"/>
        <v>5519.9175103468697</v>
      </c>
      <c r="Z26" s="206">
        <f t="shared" si="6"/>
        <v>5859.4885180379997</v>
      </c>
    </row>
    <row r="27" spans="1:26">
      <c r="A27" s="194"/>
      <c r="B27" s="195" t="s">
        <v>32</v>
      </c>
      <c r="C27" s="182">
        <f t="shared" ref="C27:E27" si="7">-C10</f>
        <v>-361.41</v>
      </c>
      <c r="D27" s="182">
        <f t="shared" si="7"/>
        <v>-1807.03</v>
      </c>
      <c r="E27" s="182">
        <f t="shared" si="7"/>
        <v>-2529.84</v>
      </c>
      <c r="F27" s="182">
        <f>-F10</f>
        <v>-2529.84</v>
      </c>
      <c r="G27" s="196"/>
      <c r="H27" s="197">
        <f>H26+SUM(C27:F27)</f>
        <v>-5812.4364754202088</v>
      </c>
      <c r="I27" s="197">
        <f t="shared" ref="I27:Z27" si="8">I26</f>
        <v>1936.6388648312791</v>
      </c>
      <c r="J27" s="197">
        <f t="shared" si="8"/>
        <v>2247.819495287235</v>
      </c>
      <c r="K27" s="197">
        <f t="shared" si="8"/>
        <v>2385.0936872707234</v>
      </c>
      <c r="L27" s="197">
        <f t="shared" si="8"/>
        <v>2533.1061793484</v>
      </c>
      <c r="M27" s="197">
        <f t="shared" si="8"/>
        <v>2688.9494460757246</v>
      </c>
      <c r="N27" s="197">
        <f t="shared" si="8"/>
        <v>2854.5350922583061</v>
      </c>
      <c r="O27" s="197">
        <f t="shared" si="8"/>
        <v>3029.6998848599478</v>
      </c>
      <c r="P27" s="197">
        <f t="shared" si="8"/>
        <v>3213.662588139965</v>
      </c>
      <c r="Q27" s="197">
        <f t="shared" si="8"/>
        <v>3414.3921315628731</v>
      </c>
      <c r="R27" s="197">
        <f t="shared" si="8"/>
        <v>3626.3748343932475</v>
      </c>
      <c r="S27" s="197">
        <f t="shared" si="8"/>
        <v>3850.8774598521813</v>
      </c>
      <c r="T27" s="197">
        <f t="shared" si="8"/>
        <v>4090.5337038247517</v>
      </c>
      <c r="U27" s="197">
        <f t="shared" si="8"/>
        <v>4345.1660803524128</v>
      </c>
      <c r="V27" s="197">
        <f t="shared" si="8"/>
        <v>4615.5483975126826</v>
      </c>
      <c r="W27" s="197">
        <f t="shared" si="8"/>
        <v>4900.21113307618</v>
      </c>
      <c r="X27" s="197">
        <f t="shared" si="8"/>
        <v>5201.6124575763952</v>
      </c>
      <c r="Y27" s="197">
        <f t="shared" si="8"/>
        <v>5519.9175103468697</v>
      </c>
      <c r="Z27" s="197">
        <f t="shared" si="8"/>
        <v>5859.4885180379997</v>
      </c>
    </row>
    <row r="28" spans="1:26">
      <c r="A28" s="52"/>
      <c r="B28" s="17"/>
      <c r="C28" s="17"/>
      <c r="D28" s="17"/>
      <c r="E28" s="17"/>
      <c r="F28" s="17"/>
      <c r="G28" s="201"/>
      <c r="H28" s="262">
        <f>H26/H11</f>
        <v>0.3661270153326463</v>
      </c>
      <c r="I28" s="262">
        <f t="shared" ref="I28:Z28" si="9">I26/I11</f>
        <v>0.39658796112120942</v>
      </c>
      <c r="J28" s="262">
        <f t="shared" si="9"/>
        <v>0.41179899908640083</v>
      </c>
      <c r="K28" s="262">
        <f t="shared" si="9"/>
        <v>0.41304443166043647</v>
      </c>
      <c r="L28" s="262">
        <f t="shared" si="9"/>
        <v>0.41467906160953172</v>
      </c>
      <c r="M28" s="262">
        <f t="shared" si="9"/>
        <v>0.41611046889157027</v>
      </c>
      <c r="N28" s="262">
        <f t="shared" si="9"/>
        <v>0.41756932927012463</v>
      </c>
      <c r="O28" s="262">
        <f t="shared" si="9"/>
        <v>0.4189478102656719</v>
      </c>
      <c r="P28" s="262">
        <f t="shared" si="9"/>
        <v>0.42007574705809175</v>
      </c>
      <c r="Q28" s="262">
        <f t="shared" si="9"/>
        <v>0.42189818161802128</v>
      </c>
      <c r="R28" s="262">
        <f t="shared" si="9"/>
        <v>0.42357837729383502</v>
      </c>
      <c r="S28" s="262">
        <f t="shared" si="9"/>
        <v>0.42519439460972031</v>
      </c>
      <c r="T28" s="262">
        <f t="shared" si="9"/>
        <v>0.42694748191007653</v>
      </c>
      <c r="U28" s="262">
        <f t="shared" si="9"/>
        <v>0.42871375658494026</v>
      </c>
      <c r="V28" s="262">
        <f t="shared" si="9"/>
        <v>0.43047785362256585</v>
      </c>
      <c r="W28" s="262">
        <f t="shared" si="9"/>
        <v>0.43202479293876395</v>
      </c>
      <c r="X28" s="262">
        <f t="shared" si="9"/>
        <v>0.43350903364006976</v>
      </c>
      <c r="Y28" s="262">
        <f t="shared" si="9"/>
        <v>0.434869487773477</v>
      </c>
      <c r="Z28" s="262">
        <f t="shared" si="9"/>
        <v>0.43636725547955285</v>
      </c>
    </row>
    <row r="29" spans="1:26">
      <c r="A29" s="52"/>
      <c r="B29" s="17" t="s">
        <v>33</v>
      </c>
      <c r="C29" s="17"/>
      <c r="D29" s="17"/>
      <c r="E29" s="17"/>
      <c r="F29" s="17"/>
      <c r="G29" s="201">
        <v>1</v>
      </c>
      <c r="H29" s="199">
        <f>G29/(1+0.1)</f>
        <v>0.90909090909090906</v>
      </c>
      <c r="I29" s="199">
        <f>H29/(1+0.1)</f>
        <v>0.82644628099173545</v>
      </c>
      <c r="J29" s="199">
        <f t="shared" ref="J29:Z29" si="10">I29/(1+0.1)</f>
        <v>0.75131480090157765</v>
      </c>
      <c r="K29" s="199">
        <f t="shared" si="10"/>
        <v>0.68301345536507052</v>
      </c>
      <c r="L29" s="199">
        <f t="shared" si="10"/>
        <v>0.62092132305915493</v>
      </c>
      <c r="M29" s="199">
        <f t="shared" si="10"/>
        <v>0.56447393005377711</v>
      </c>
      <c r="N29" s="199">
        <f t="shared" si="10"/>
        <v>0.51315811823070645</v>
      </c>
      <c r="O29" s="199">
        <f t="shared" si="10"/>
        <v>0.46650738020973309</v>
      </c>
      <c r="P29" s="199">
        <f t="shared" si="10"/>
        <v>0.42409761837248461</v>
      </c>
      <c r="Q29" s="199">
        <f t="shared" si="10"/>
        <v>0.38554328942953142</v>
      </c>
      <c r="R29" s="199">
        <f t="shared" si="10"/>
        <v>0.35049389948139215</v>
      </c>
      <c r="S29" s="199">
        <f t="shared" si="10"/>
        <v>0.31863081771035645</v>
      </c>
      <c r="T29" s="199">
        <f t="shared" si="10"/>
        <v>0.28966437973668768</v>
      </c>
      <c r="U29" s="199">
        <f t="shared" si="10"/>
        <v>0.26333125430607968</v>
      </c>
      <c r="V29" s="199">
        <f t="shared" si="10"/>
        <v>0.23939204936916333</v>
      </c>
      <c r="W29" s="199">
        <f t="shared" si="10"/>
        <v>0.21762913579014848</v>
      </c>
      <c r="X29" s="199">
        <f t="shared" si="10"/>
        <v>0.19784466890013497</v>
      </c>
      <c r="Y29" s="199">
        <f t="shared" si="10"/>
        <v>0.17985878990921358</v>
      </c>
      <c r="Z29" s="199">
        <f t="shared" si="10"/>
        <v>0.16350799082655779</v>
      </c>
    </row>
    <row r="30" spans="1:26" hidden="1">
      <c r="A30" s="52"/>
      <c r="B30" s="17" t="s">
        <v>34</v>
      </c>
      <c r="C30" s="182"/>
      <c r="D30" s="182"/>
      <c r="E30" s="182"/>
      <c r="F30" s="182"/>
      <c r="G30" s="211"/>
      <c r="H30" s="202">
        <f>H27*H29</f>
        <v>-5284.0331594729169</v>
      </c>
      <c r="I30" s="202">
        <f t="shared" ref="I30:Z30" si="11">I27*I29</f>
        <v>1600.5279874638668</v>
      </c>
      <c r="J30" s="202">
        <f t="shared" si="11"/>
        <v>1688.8200565644138</v>
      </c>
      <c r="K30" s="202">
        <f t="shared" si="11"/>
        <v>1629.0510807121937</v>
      </c>
      <c r="L30" s="202">
        <f t="shared" si="11"/>
        <v>1572.8596403303295</v>
      </c>
      <c r="M30" s="202">
        <f t="shared" si="11"/>
        <v>1517.8418615422913</v>
      </c>
      <c r="N30" s="202">
        <f t="shared" si="11"/>
        <v>1464.8278563667884</v>
      </c>
      <c r="O30" s="202">
        <f t="shared" si="11"/>
        <v>1413.3773561077442</v>
      </c>
      <c r="P30" s="202">
        <f t="shared" si="11"/>
        <v>1362.9066498829141</v>
      </c>
      <c r="Q30" s="202">
        <f t="shared" si="11"/>
        <v>1316.3959738050596</v>
      </c>
      <c r="R30" s="202">
        <f t="shared" si="11"/>
        <v>1271.0222566876769</v>
      </c>
      <c r="S30" s="202">
        <f t="shared" si="11"/>
        <v>1227.0082339350809</v>
      </c>
      <c r="T30" s="202">
        <f t="shared" si="11"/>
        <v>1184.8819081104125</v>
      </c>
      <c r="U30" s="202">
        <f t="shared" si="11"/>
        <v>1144.2180341074327</v>
      </c>
      <c r="V30" s="202">
        <f t="shared" si="11"/>
        <v>1104.9255898431188</v>
      </c>
      <c r="W30" s="202">
        <f t="shared" si="11"/>
        <v>1066.4287140806332</v>
      </c>
      <c r="X30" s="202">
        <f t="shared" si="11"/>
        <v>1029.1112944160193</v>
      </c>
      <c r="Y30" s="202">
        <f t="shared" si="11"/>
        <v>992.8056838096669</v>
      </c>
      <c r="Z30" s="202">
        <f t="shared" si="11"/>
        <v>958.07319485567791</v>
      </c>
    </row>
    <row r="31" spans="1:26" hidden="1">
      <c r="A31" s="52"/>
      <c r="B31" s="17" t="s">
        <v>35</v>
      </c>
      <c r="C31" s="17"/>
      <c r="D31" s="17"/>
      <c r="E31" s="17"/>
      <c r="F31" s="17"/>
      <c r="G31" s="211"/>
      <c r="H31" s="202">
        <f>H27</f>
        <v>-5812.4364754202088</v>
      </c>
      <c r="I31" s="202">
        <f t="shared" ref="I31:Z31" si="12">I27</f>
        <v>1936.6388648312791</v>
      </c>
      <c r="J31" s="202">
        <f t="shared" si="12"/>
        <v>2247.819495287235</v>
      </c>
      <c r="K31" s="202">
        <f t="shared" si="12"/>
        <v>2385.0936872707234</v>
      </c>
      <c r="L31" s="202">
        <f t="shared" si="12"/>
        <v>2533.1061793484</v>
      </c>
      <c r="M31" s="202">
        <f t="shared" si="12"/>
        <v>2688.9494460757246</v>
      </c>
      <c r="N31" s="202">
        <f t="shared" si="12"/>
        <v>2854.5350922583061</v>
      </c>
      <c r="O31" s="202">
        <f t="shared" si="12"/>
        <v>3029.6998848599478</v>
      </c>
      <c r="P31" s="202">
        <f t="shared" si="12"/>
        <v>3213.662588139965</v>
      </c>
      <c r="Q31" s="202">
        <f t="shared" si="12"/>
        <v>3414.3921315628731</v>
      </c>
      <c r="R31" s="202">
        <f t="shared" si="12"/>
        <v>3626.3748343932475</v>
      </c>
      <c r="S31" s="202">
        <f t="shared" si="12"/>
        <v>3850.8774598521813</v>
      </c>
      <c r="T31" s="202">
        <f t="shared" si="12"/>
        <v>4090.5337038247517</v>
      </c>
      <c r="U31" s="202">
        <f t="shared" si="12"/>
        <v>4345.1660803524128</v>
      </c>
      <c r="V31" s="202">
        <f t="shared" si="12"/>
        <v>4615.5483975126826</v>
      </c>
      <c r="W31" s="202">
        <f t="shared" si="12"/>
        <v>4900.21113307618</v>
      </c>
      <c r="X31" s="202">
        <f t="shared" si="12"/>
        <v>5201.6124575763952</v>
      </c>
      <c r="Y31" s="202">
        <f t="shared" si="12"/>
        <v>5519.9175103468697</v>
      </c>
      <c r="Z31" s="202">
        <f t="shared" si="12"/>
        <v>5859.4885180379997</v>
      </c>
    </row>
    <row r="32" spans="1:26" hidden="1">
      <c r="A32" s="53"/>
      <c r="B32" s="55" t="s">
        <v>448</v>
      </c>
      <c r="C32" s="55"/>
      <c r="D32" s="55"/>
      <c r="E32" s="55"/>
      <c r="F32" s="55"/>
      <c r="G32" s="212"/>
      <c r="H32" s="213">
        <f>H27</f>
        <v>-5812.4364754202088</v>
      </c>
      <c r="I32" s="213">
        <f>H32+I27</f>
        <v>-3875.7976105889297</v>
      </c>
      <c r="J32" s="213">
        <f t="shared" ref="J32:Z32" si="13">I32+J27</f>
        <v>-1627.9781153016947</v>
      </c>
      <c r="K32" s="213">
        <f t="shared" si="13"/>
        <v>757.11557196902868</v>
      </c>
      <c r="L32" s="213">
        <f t="shared" si="13"/>
        <v>3290.2217513174287</v>
      </c>
      <c r="M32" s="213">
        <f t="shared" si="13"/>
        <v>5979.1711973931533</v>
      </c>
      <c r="N32" s="213">
        <f t="shared" si="13"/>
        <v>8833.7062896514599</v>
      </c>
      <c r="O32" s="213">
        <f t="shared" si="13"/>
        <v>11863.406174511409</v>
      </c>
      <c r="P32" s="213">
        <f t="shared" si="13"/>
        <v>15077.068762651374</v>
      </c>
      <c r="Q32" s="213">
        <f t="shared" si="13"/>
        <v>18491.460894214248</v>
      </c>
      <c r="R32" s="213">
        <f t="shared" si="13"/>
        <v>22117.835728607497</v>
      </c>
      <c r="S32" s="213">
        <f t="shared" si="13"/>
        <v>25968.713188459678</v>
      </c>
      <c r="T32" s="213">
        <f t="shared" si="13"/>
        <v>30059.246892284431</v>
      </c>
      <c r="U32" s="213">
        <f t="shared" si="13"/>
        <v>34404.412972636841</v>
      </c>
      <c r="V32" s="213">
        <f t="shared" si="13"/>
        <v>39019.961370149525</v>
      </c>
      <c r="W32" s="213">
        <f t="shared" si="13"/>
        <v>43920.172503225709</v>
      </c>
      <c r="X32" s="213">
        <f t="shared" si="13"/>
        <v>49121.784960802106</v>
      </c>
      <c r="Y32" s="213">
        <f t="shared" si="13"/>
        <v>54641.702471148979</v>
      </c>
      <c r="Z32" s="213">
        <f t="shared" si="13"/>
        <v>60501.19098918698</v>
      </c>
    </row>
    <row r="33" spans="1:27">
      <c r="A33" s="52"/>
      <c r="B33" s="17"/>
      <c r="C33" s="17"/>
      <c r="D33" s="17"/>
      <c r="E33" s="17"/>
      <c r="F33" s="17"/>
      <c r="G33" s="201"/>
      <c r="H33" s="202"/>
      <c r="I33" s="202"/>
      <c r="J33" s="202"/>
      <c r="K33" s="202"/>
      <c r="L33" s="202"/>
      <c r="M33" s="202"/>
      <c r="N33" s="202"/>
      <c r="O33" s="202"/>
      <c r="P33" s="202"/>
      <c r="Q33" s="202"/>
      <c r="R33" s="202"/>
      <c r="S33" s="202"/>
      <c r="T33" s="202"/>
      <c r="U33" s="202"/>
      <c r="V33" s="202"/>
      <c r="W33" s="202"/>
      <c r="X33" s="202"/>
      <c r="Y33" s="202"/>
      <c r="Z33" s="202"/>
    </row>
    <row r="34" spans="1:27">
      <c r="A34" s="52"/>
      <c r="B34" s="17"/>
      <c r="C34" s="17"/>
      <c r="D34" s="17"/>
      <c r="E34" s="17"/>
      <c r="F34" s="17"/>
      <c r="G34" s="201"/>
      <c r="H34" s="202"/>
      <c r="I34" s="202"/>
      <c r="J34" s="202"/>
      <c r="K34" s="202"/>
      <c r="L34" s="202"/>
      <c r="M34" s="202"/>
      <c r="N34" s="202"/>
      <c r="O34" s="202"/>
      <c r="P34" s="202"/>
      <c r="Q34" s="202"/>
      <c r="R34" s="202"/>
      <c r="S34" s="202"/>
      <c r="T34" s="202"/>
      <c r="U34" s="202"/>
      <c r="V34" s="202"/>
      <c r="W34" s="202"/>
      <c r="X34" s="202"/>
      <c r="Y34" s="202"/>
      <c r="Z34" s="202"/>
    </row>
    <row r="35" spans="1:27">
      <c r="A35" s="52"/>
      <c r="B35" s="214" t="s">
        <v>36</v>
      </c>
      <c r="C35" s="215"/>
      <c r="D35" s="215"/>
      <c r="E35" s="215"/>
      <c r="F35" s="215"/>
      <c r="G35" s="298">
        <f>NPV(0%,(H30:Z30))</f>
        <v>18261.050213148403</v>
      </c>
      <c r="H35" s="216"/>
      <c r="I35" s="199"/>
      <c r="J35" s="199"/>
      <c r="K35" s="199"/>
      <c r="L35" s="199"/>
      <c r="M35" s="199"/>
      <c r="N35" s="199"/>
      <c r="O35" s="199"/>
      <c r="P35" s="199"/>
      <c r="Q35" s="199"/>
      <c r="R35" s="199"/>
      <c r="S35" s="199"/>
      <c r="T35" s="199"/>
      <c r="U35" s="199"/>
      <c r="V35" s="199"/>
      <c r="W35" s="199"/>
      <c r="X35" s="199"/>
      <c r="Y35" s="199"/>
      <c r="Z35" s="199"/>
    </row>
    <row r="36" spans="1:27">
      <c r="A36" s="52"/>
      <c r="B36" s="217" t="s">
        <v>37</v>
      </c>
      <c r="C36" s="218"/>
      <c r="D36" s="218"/>
      <c r="E36" s="218"/>
      <c r="F36" s="218"/>
      <c r="G36" s="300">
        <f>IRR(C27:Z27,0.1)</f>
        <v>0.17158397090689248</v>
      </c>
      <c r="H36" s="219"/>
      <c r="I36" s="199"/>
      <c r="J36" s="199"/>
      <c r="K36" s="199"/>
      <c r="L36" s="199"/>
      <c r="M36" s="199"/>
      <c r="N36" s="199"/>
      <c r="O36" s="199"/>
      <c r="P36" s="199"/>
      <c r="Q36" s="199"/>
      <c r="R36" s="199"/>
      <c r="S36" s="199"/>
      <c r="T36" s="199"/>
      <c r="U36" s="199"/>
      <c r="V36" s="199"/>
      <c r="W36" s="199"/>
      <c r="X36" s="199"/>
      <c r="Y36" s="199"/>
      <c r="Z36" s="199"/>
    </row>
    <row r="37" spans="1:27">
      <c r="A37" s="52"/>
      <c r="B37" s="220" t="s">
        <v>400</v>
      </c>
      <c r="C37" s="221"/>
      <c r="D37" s="221"/>
      <c r="E37" s="221"/>
      <c r="F37" s="221"/>
      <c r="G37" s="299">
        <f>IF(SUM(H42:Z42)&lt;=25,SUM(H42:Z42)," N/A ")</f>
        <v>3.6825635923612712</v>
      </c>
      <c r="H37" s="222"/>
      <c r="I37" s="199"/>
      <c r="J37" s="199"/>
      <c r="K37" s="199"/>
      <c r="L37" s="199"/>
      <c r="M37" s="199"/>
      <c r="N37" s="199"/>
      <c r="O37" s="199"/>
      <c r="P37" s="199"/>
      <c r="Q37" s="199"/>
      <c r="R37" s="199"/>
      <c r="S37" s="199"/>
      <c r="T37" s="199"/>
      <c r="U37" s="199"/>
      <c r="V37" s="199"/>
      <c r="W37" s="199"/>
      <c r="X37" s="199"/>
      <c r="Y37" s="199"/>
      <c r="Z37" s="199"/>
    </row>
    <row r="38" spans="1:27" ht="16.5" customHeight="1">
      <c r="A38" s="52"/>
      <c r="B38" s="307" t="s">
        <v>401</v>
      </c>
      <c r="C38" s="308"/>
      <c r="D38" s="308"/>
      <c r="E38" s="308"/>
      <c r="F38" s="308"/>
      <c r="G38" s="309">
        <f>IF(SUM(H43:Z43)&lt;=25,SUM(H43:Z43)," N/A ")</f>
        <v>3.9993413555761372</v>
      </c>
      <c r="H38" s="310"/>
      <c r="I38" s="199"/>
      <c r="J38" s="199"/>
      <c r="K38" s="199"/>
      <c r="L38" s="199"/>
      <c r="M38" s="199"/>
      <c r="N38" s="199"/>
      <c r="O38" s="199"/>
      <c r="P38" s="199"/>
      <c r="Q38" s="199"/>
      <c r="R38" s="199"/>
      <c r="S38" s="199"/>
      <c r="T38" s="199"/>
      <c r="U38" s="199"/>
      <c r="V38" s="199"/>
      <c r="W38" s="199"/>
      <c r="X38" s="199"/>
      <c r="Y38" s="199"/>
      <c r="Z38" s="199"/>
    </row>
    <row r="39" spans="1:27" ht="19.5" customHeight="1">
      <c r="A39" s="286"/>
      <c r="H39" s="223">
        <v>1</v>
      </c>
      <c r="I39" s="301">
        <v>2</v>
      </c>
      <c r="J39" s="301">
        <v>3</v>
      </c>
      <c r="K39" s="301">
        <v>4</v>
      </c>
      <c r="L39" s="301">
        <v>5</v>
      </c>
      <c r="M39" s="301">
        <v>6</v>
      </c>
      <c r="N39" s="301">
        <v>7</v>
      </c>
      <c r="O39" s="301">
        <v>8</v>
      </c>
      <c r="P39" s="301">
        <v>9</v>
      </c>
      <c r="Q39" s="301">
        <v>10</v>
      </c>
      <c r="R39" s="301">
        <v>11</v>
      </c>
      <c r="S39" s="301">
        <v>12</v>
      </c>
      <c r="T39" s="301">
        <v>13</v>
      </c>
      <c r="U39" s="301">
        <v>14</v>
      </c>
      <c r="V39" s="301">
        <v>15</v>
      </c>
      <c r="W39" s="301">
        <v>16</v>
      </c>
      <c r="X39" s="301">
        <v>17</v>
      </c>
      <c r="Y39" s="301">
        <v>18</v>
      </c>
      <c r="Z39" s="302">
        <v>19</v>
      </c>
    </row>
    <row r="40" spans="1:27" ht="14.25" customHeight="1">
      <c r="A40" s="2"/>
      <c r="B40" s="303" t="s">
        <v>402</v>
      </c>
      <c r="H40" s="223">
        <f>IF(H32&lt;0,1,IF(H31=0,0,-G32/H31))</f>
        <v>1</v>
      </c>
      <c r="I40" s="223">
        <f t="shared" ref="I40:Z40" si="14">IF(I32&lt;0,1,IF(I31=0,0,-H32/I31))</f>
        <v>1</v>
      </c>
      <c r="J40" s="223">
        <f t="shared" si="14"/>
        <v>1</v>
      </c>
      <c r="K40" s="223">
        <f t="shared" si="14"/>
        <v>0.68256359236127095</v>
      </c>
      <c r="L40" s="223">
        <f t="shared" si="14"/>
        <v>-0.29888821011197575</v>
      </c>
      <c r="M40" s="223">
        <f t="shared" si="14"/>
        <v>-1.2236086312887755</v>
      </c>
      <c r="N40" s="223">
        <f t="shared" si="14"/>
        <v>-2.0946217174239945</v>
      </c>
      <c r="O40" s="223">
        <f t="shared" si="14"/>
        <v>-2.9157034113495404</v>
      </c>
      <c r="P40" s="223">
        <f t="shared" si="14"/>
        <v>-3.6915531264213479</v>
      </c>
      <c r="Q40" s="223">
        <f t="shared" si="14"/>
        <v>-4.4157402494218294</v>
      </c>
      <c r="R40" s="223">
        <f t="shared" si="14"/>
        <v>-5.0991587297699121</v>
      </c>
      <c r="S40" s="223">
        <f t="shared" si="14"/>
        <v>-5.7435833674791885</v>
      </c>
      <c r="T40" s="223">
        <f t="shared" si="14"/>
        <v>-6.3484902139244763</v>
      </c>
      <c r="U40" s="223">
        <f t="shared" si="14"/>
        <v>-6.917859141956316</v>
      </c>
      <c r="V40" s="223">
        <f t="shared" si="14"/>
        <v>-7.4540249629225785</v>
      </c>
      <c r="W40" s="223">
        <f t="shared" si="14"/>
        <v>-7.9629143133786089</v>
      </c>
      <c r="X40" s="223">
        <f t="shared" si="14"/>
        <v>-8.4435687705365083</v>
      </c>
      <c r="Y40" s="223">
        <f t="shared" si="14"/>
        <v>-8.8990070718856291</v>
      </c>
      <c r="Z40" s="306">
        <f t="shared" si="14"/>
        <v>-9.3253365550488851</v>
      </c>
    </row>
    <row r="41" spans="1:27">
      <c r="A41" s="63"/>
      <c r="B41" s="303" t="s">
        <v>403</v>
      </c>
      <c r="H41" s="223">
        <f>IF(H32&lt;0,1,IF(H30=0,0,-G32/H30))</f>
        <v>1</v>
      </c>
      <c r="I41" s="223">
        <f>IF(I32&lt;0,1,IF(I30=0,0,-H32/I30))</f>
        <v>1</v>
      </c>
      <c r="J41" s="223">
        <f t="shared" ref="J41:Z41" si="15">IF(J32&lt;0,1,IF(J30=0,0,-I32/J30))</f>
        <v>1</v>
      </c>
      <c r="K41" s="223">
        <f t="shared" si="15"/>
        <v>0.99934135557613712</v>
      </c>
      <c r="L41" s="223">
        <f t="shared" si="15"/>
        <v>-0.48136245126743826</v>
      </c>
      <c r="M41" s="223">
        <f t="shared" si="15"/>
        <v>-2.1676973304545757</v>
      </c>
      <c r="N41" s="223">
        <f t="shared" si="15"/>
        <v>-4.0818251587755086</v>
      </c>
      <c r="O41" s="223">
        <f t="shared" si="15"/>
        <v>-6.2500692058477068</v>
      </c>
      <c r="P41" s="223">
        <f t="shared" si="15"/>
        <v>-8.7044891706490546</v>
      </c>
      <c r="Q41" s="223">
        <f t="shared" si="15"/>
        <v>-11.453292977697973</v>
      </c>
      <c r="R41" s="223">
        <f t="shared" si="15"/>
        <v>-14.548494959013199</v>
      </c>
      <c r="S41" s="223">
        <f t="shared" si="15"/>
        <v>-18.025825024559467</v>
      </c>
      <c r="T41" s="223">
        <f t="shared" si="15"/>
        <v>-21.916710020387786</v>
      </c>
      <c r="U41" s="223">
        <f t="shared" si="15"/>
        <v>-26.270558579102165</v>
      </c>
      <c r="V41" s="223">
        <f t="shared" si="15"/>
        <v>-31.137312131146949</v>
      </c>
      <c r="W41" s="223">
        <f t="shared" si="15"/>
        <v>-36.58937616265198</v>
      </c>
      <c r="X41" s="223">
        <f t="shared" si="15"/>
        <v>-42.677767449971192</v>
      </c>
      <c r="Y41" s="223">
        <f t="shared" si="15"/>
        <v>-49.477743491866789</v>
      </c>
      <c r="Z41" s="306">
        <f t="shared" si="15"/>
        <v>-57.032910183214227</v>
      </c>
    </row>
    <row r="42" spans="1:27">
      <c r="A42" s="2"/>
      <c r="B42" s="303" t="s">
        <v>404</v>
      </c>
      <c r="H42" s="296">
        <f>IF(H40&gt;0,H40,0)</f>
        <v>1</v>
      </c>
      <c r="I42" s="296">
        <f t="shared" ref="I42:Z43" si="16">IF(I40&gt;0,I40,0)</f>
        <v>1</v>
      </c>
      <c r="J42" s="296">
        <f t="shared" si="16"/>
        <v>1</v>
      </c>
      <c r="K42" s="296">
        <f t="shared" si="16"/>
        <v>0.68256359236127095</v>
      </c>
      <c r="L42" s="296">
        <f t="shared" si="16"/>
        <v>0</v>
      </c>
      <c r="M42" s="296">
        <f t="shared" si="16"/>
        <v>0</v>
      </c>
      <c r="N42" s="296">
        <f t="shared" si="16"/>
        <v>0</v>
      </c>
      <c r="O42" s="296">
        <f t="shared" si="16"/>
        <v>0</v>
      </c>
      <c r="P42" s="296">
        <f t="shared" si="16"/>
        <v>0</v>
      </c>
      <c r="Q42" s="296">
        <f t="shared" si="16"/>
        <v>0</v>
      </c>
      <c r="R42" s="296">
        <f t="shared" si="16"/>
        <v>0</v>
      </c>
      <c r="S42" s="296">
        <f t="shared" si="16"/>
        <v>0</v>
      </c>
      <c r="T42" s="296">
        <f t="shared" si="16"/>
        <v>0</v>
      </c>
      <c r="U42" s="296">
        <f t="shared" si="16"/>
        <v>0</v>
      </c>
      <c r="V42" s="296">
        <f t="shared" si="16"/>
        <v>0</v>
      </c>
      <c r="W42" s="296">
        <f t="shared" si="16"/>
        <v>0</v>
      </c>
      <c r="X42" s="296">
        <f t="shared" si="16"/>
        <v>0</v>
      </c>
      <c r="Y42" s="296">
        <f t="shared" si="16"/>
        <v>0</v>
      </c>
      <c r="Z42" s="297">
        <f t="shared" si="16"/>
        <v>0</v>
      </c>
      <c r="AA42" s="297"/>
    </row>
    <row r="43" spans="1:27">
      <c r="A43" s="2"/>
      <c r="B43" s="295" t="s">
        <v>405</v>
      </c>
      <c r="C43" s="225"/>
      <c r="D43" s="225"/>
      <c r="E43" s="225"/>
      <c r="F43" s="225"/>
      <c r="G43" s="225"/>
      <c r="H43" s="304">
        <f>IF(H41&gt;0,H41,0)</f>
        <v>1</v>
      </c>
      <c r="I43" s="304">
        <f t="shared" si="16"/>
        <v>1</v>
      </c>
      <c r="J43" s="304">
        <f t="shared" si="16"/>
        <v>1</v>
      </c>
      <c r="K43" s="304">
        <f t="shared" si="16"/>
        <v>0.99934135557613712</v>
      </c>
      <c r="L43" s="304">
        <f t="shared" si="16"/>
        <v>0</v>
      </c>
      <c r="M43" s="304">
        <f t="shared" si="16"/>
        <v>0</v>
      </c>
      <c r="N43" s="304">
        <f t="shared" si="16"/>
        <v>0</v>
      </c>
      <c r="O43" s="304">
        <f t="shared" si="16"/>
        <v>0</v>
      </c>
      <c r="P43" s="304">
        <f t="shared" si="16"/>
        <v>0</v>
      </c>
      <c r="Q43" s="304">
        <f t="shared" si="16"/>
        <v>0</v>
      </c>
      <c r="R43" s="304">
        <f t="shared" si="16"/>
        <v>0</v>
      </c>
      <c r="S43" s="304">
        <f t="shared" si="16"/>
        <v>0</v>
      </c>
      <c r="T43" s="304">
        <f t="shared" si="16"/>
        <v>0</v>
      </c>
      <c r="U43" s="304">
        <f t="shared" si="16"/>
        <v>0</v>
      </c>
      <c r="V43" s="304">
        <f t="shared" si="16"/>
        <v>0</v>
      </c>
      <c r="W43" s="304">
        <f t="shared" si="16"/>
        <v>0</v>
      </c>
      <c r="X43" s="304">
        <f t="shared" si="16"/>
        <v>0</v>
      </c>
      <c r="Y43" s="304">
        <f t="shared" si="16"/>
        <v>0</v>
      </c>
      <c r="Z43" s="305">
        <f t="shared" si="16"/>
        <v>0</v>
      </c>
    </row>
    <row r="44" spans="1:27">
      <c r="H44" s="1"/>
      <c r="I44" s="1"/>
      <c r="J44" s="1"/>
      <c r="K44" s="1"/>
      <c r="L44" s="1"/>
      <c r="M44" s="1"/>
      <c r="N44" s="1"/>
      <c r="O44" s="1"/>
      <c r="P44" s="1"/>
      <c r="Q44" s="1"/>
      <c r="R44" s="1"/>
      <c r="S44" s="1"/>
      <c r="T44" s="1"/>
      <c r="U44" s="1"/>
      <c r="V44" s="1"/>
      <c r="W44" s="1"/>
      <c r="X44" s="1"/>
      <c r="Y44" s="1"/>
      <c r="Z44" s="1"/>
    </row>
    <row r="45" spans="1:27">
      <c r="A45" s="1"/>
      <c r="H45" s="1"/>
      <c r="I45" s="1"/>
      <c r="J45" s="1"/>
      <c r="K45" s="1"/>
      <c r="L45" s="1"/>
      <c r="M45" s="1"/>
      <c r="N45" s="1"/>
      <c r="O45" s="1"/>
      <c r="P45" s="1"/>
      <c r="Q45" s="1"/>
      <c r="R45" s="1"/>
      <c r="S45" s="1"/>
      <c r="T45" s="1"/>
      <c r="U45" s="1"/>
      <c r="V45" s="1"/>
      <c r="W45" s="1"/>
      <c r="X45" s="1"/>
      <c r="Y45" s="1"/>
      <c r="Z45" s="1"/>
    </row>
    <row r="46" spans="1:27">
      <c r="A46" s="1"/>
      <c r="I46" s="229"/>
      <c r="J46" s="1093"/>
      <c r="K46" s="1093"/>
      <c r="L46" s="1093"/>
      <c r="M46" s="1093"/>
      <c r="N46" s="1093"/>
    </row>
    <row r="47" spans="1:27">
      <c r="A47" s="1"/>
      <c r="B47" s="227" t="s">
        <v>399</v>
      </c>
      <c r="C47" s="228">
        <v>4.4999999999999998E-2</v>
      </c>
    </row>
    <row r="48" spans="1:27">
      <c r="A48" s="1"/>
      <c r="B48" s="227" t="s">
        <v>349</v>
      </c>
      <c r="C48" s="291">
        <v>4</v>
      </c>
      <c r="L48" s="226"/>
      <c r="M48" s="226"/>
      <c r="N48" s="226"/>
      <c r="O48" s="226"/>
      <c r="P48" s="226"/>
      <c r="Q48" s="226"/>
    </row>
    <row r="49" spans="1:26">
      <c r="A49" s="1"/>
    </row>
    <row r="50" spans="1:26">
      <c r="B50" s="287" t="s">
        <v>393</v>
      </c>
      <c r="C50" s="287"/>
      <c r="D50" s="287"/>
      <c r="E50" s="287"/>
      <c r="F50" s="287"/>
      <c r="G50" s="287"/>
      <c r="H50" s="158">
        <f t="shared" ref="H50:Z50" si="17">H12/((350000)*H3)*10^7</f>
        <v>74749.50916666667</v>
      </c>
      <c r="I50" s="158">
        <f t="shared" si="17"/>
        <v>79050.595924116657</v>
      </c>
      <c r="J50" s="158">
        <f t="shared" si="17"/>
        <v>83599.167213590321</v>
      </c>
      <c r="K50" s="158">
        <f t="shared" si="17"/>
        <v>88409.463295060283</v>
      </c>
      <c r="L50" s="158">
        <f t="shared" si="17"/>
        <v>93496.543813058059</v>
      </c>
      <c r="M50" s="158">
        <f t="shared" si="17"/>
        <v>98876.334944061411</v>
      </c>
      <c r="N50" s="158">
        <f t="shared" si="17"/>
        <v>104565.67925674266</v>
      </c>
      <c r="O50" s="158">
        <f t="shared" si="17"/>
        <v>110582.38844117564</v>
      </c>
      <c r="P50" s="158">
        <f t="shared" si="17"/>
        <v>116945.29907208083</v>
      </c>
      <c r="Q50" s="158">
        <f t="shared" si="17"/>
        <v>123674.33158068836</v>
      </c>
      <c r="R50" s="158">
        <f t="shared" si="17"/>
        <v>130790.55261984115</v>
      </c>
      <c r="S50" s="158">
        <f t="shared" si="17"/>
        <v>138316.24101758681</v>
      </c>
      <c r="T50" s="158">
        <f t="shared" si="17"/>
        <v>146274.95752573875</v>
      </c>
      <c r="U50" s="158">
        <f t="shared" si="17"/>
        <v>154691.61858176976</v>
      </c>
      <c r="V50" s="158">
        <f t="shared" si="17"/>
        <v>163592.57431496476</v>
      </c>
      <c r="W50" s="158">
        <f t="shared" si="17"/>
        <v>173005.69104104786</v>
      </c>
      <c r="X50" s="158">
        <f t="shared" si="17"/>
        <v>182960.43850354964</v>
      </c>
      <c r="Y50" s="158">
        <f t="shared" si="17"/>
        <v>193487.98213504389</v>
      </c>
      <c r="Z50" s="158">
        <f t="shared" si="17"/>
        <v>204621.28062709427</v>
      </c>
    </row>
    <row r="51" spans="1:26">
      <c r="B51" s="287" t="s">
        <v>482</v>
      </c>
      <c r="H51" s="158">
        <f>H13/((200000)*90%)*10^7</f>
        <v>77038.391071428574</v>
      </c>
      <c r="I51" s="158">
        <f t="shared" ref="I51:Z51" si="18">I13/((200000)*100%)*10^7</f>
        <v>81551.685212348224</v>
      </c>
      <c r="J51" s="158">
        <f t="shared" si="18"/>
        <v>86329.390690513625</v>
      </c>
      <c r="K51" s="158">
        <f t="shared" si="18"/>
        <v>91386.998044117368</v>
      </c>
      <c r="L51" s="158">
        <f t="shared" si="18"/>
        <v>96740.905324531981</v>
      </c>
      <c r="M51" s="158">
        <f t="shared" si="18"/>
        <v>102408.47126296967</v>
      </c>
      <c r="N51" s="158">
        <f t="shared" si="18"/>
        <v>108408.0715519107</v>
      </c>
      <c r="O51" s="158">
        <f t="shared" si="18"/>
        <v>114759.15842377942</v>
      </c>
      <c r="P51" s="158">
        <f t="shared" si="18"/>
        <v>121482.32372003648</v>
      </c>
      <c r="Q51" s="158">
        <f t="shared" si="18"/>
        <v>128599.36565517483</v>
      </c>
      <c r="R51" s="158">
        <f t="shared" si="18"/>
        <v>136133.35949208323</v>
      </c>
      <c r="S51" s="158">
        <f t="shared" si="18"/>
        <v>144108.73235792693</v>
      </c>
      <c r="T51" s="158">
        <f t="shared" si="18"/>
        <v>152551.34244311607</v>
      </c>
      <c r="U51" s="158">
        <f t="shared" si="18"/>
        <v>161488.56284014598</v>
      </c>
      <c r="V51" s="158">
        <f t="shared" si="18"/>
        <v>170949.37029413591</v>
      </c>
      <c r="W51" s="158">
        <f t="shared" si="18"/>
        <v>180964.43915281785</v>
      </c>
      <c r="X51" s="158">
        <f t="shared" si="18"/>
        <v>191566.2408205856</v>
      </c>
      <c r="Y51" s="158">
        <f t="shared" si="18"/>
        <v>202789.14903905967</v>
      </c>
      <c r="Z51" s="158">
        <f t="shared" si="18"/>
        <v>214669.55133551292</v>
      </c>
    </row>
    <row r="52" spans="1:26">
      <c r="B52" s="287" t="s">
        <v>483</v>
      </c>
      <c r="H52" s="158">
        <f>H14/((200000)*90%)*10^7</f>
        <v>36032.882845758926</v>
      </c>
      <c r="I52" s="158">
        <f t="shared" ref="I52:Z52" si="19">I14/((200000)*90%)*10^7</f>
        <v>42340.238805226545</v>
      </c>
      <c r="J52" s="158">
        <f t="shared" si="19"/>
        <v>44776.496146079284</v>
      </c>
      <c r="K52" s="158">
        <f t="shared" si="19"/>
        <v>47352.935734324681</v>
      </c>
      <c r="L52" s="158">
        <f t="shared" si="19"/>
        <v>50077.623656477706</v>
      </c>
      <c r="M52" s="158">
        <f t="shared" si="19"/>
        <v>52959.090121671434</v>
      </c>
      <c r="N52" s="158">
        <f t="shared" si="19"/>
        <v>56006.356167272403</v>
      </c>
      <c r="O52" s="158">
        <f t="shared" si="19"/>
        <v>59228.961901137256</v>
      </c>
      <c r="P52" s="158">
        <f t="shared" si="19"/>
        <v>62636.996368928674</v>
      </c>
      <c r="Q52" s="158">
        <f t="shared" si="19"/>
        <v>66241.129139996818</v>
      </c>
      <c r="R52" s="158">
        <f t="shared" si="19"/>
        <v>70052.643710712218</v>
      </c>
      <c r="S52" s="158">
        <f t="shared" si="19"/>
        <v>74083.472829826613</v>
      </c>
      <c r="T52" s="158">
        <f t="shared" si="19"/>
        <v>78346.235856454805</v>
      </c>
      <c r="U52" s="158">
        <f t="shared" si="19"/>
        <v>82854.278267635236</v>
      </c>
      <c r="V52" s="158">
        <f t="shared" si="19"/>
        <v>87621.713439154948</v>
      </c>
      <c r="W52" s="158">
        <f t="shared" si="19"/>
        <v>92663.466830443926</v>
      </c>
      <c r="X52" s="158">
        <f t="shared" si="19"/>
        <v>97995.322711867615</v>
      </c>
      <c r="Y52" s="158">
        <f t="shared" si="19"/>
        <v>103633.97358070849</v>
      </c>
      <c r="Z52" s="158">
        <f t="shared" si="19"/>
        <v>109597.07242054242</v>
      </c>
    </row>
    <row r="53" spans="1:26">
      <c r="B53" s="1" t="s">
        <v>394</v>
      </c>
      <c r="H53" s="75">
        <f>H24/((673000))*10^7</f>
        <v>36418.460334515839</v>
      </c>
      <c r="I53" s="75">
        <f t="shared" ref="I53:Z53" si="20">I24/((673000))*10^7</f>
        <v>43783.252741744989</v>
      </c>
      <c r="J53" s="75">
        <f t="shared" si="20"/>
        <v>47707.520083627423</v>
      </c>
      <c r="K53" s="75">
        <f t="shared" si="20"/>
        <v>50361.520537244862</v>
      </c>
      <c r="L53" s="75">
        <f t="shared" si="20"/>
        <v>53127.610496521098</v>
      </c>
      <c r="M53" s="75">
        <f t="shared" si="20"/>
        <v>56064.71507304463</v>
      </c>
      <c r="N53" s="75">
        <f t="shared" si="20"/>
        <v>59161.062760428009</v>
      </c>
      <c r="O53" s="75">
        <f t="shared" si="20"/>
        <v>62436.674491489728</v>
      </c>
      <c r="P53" s="75">
        <f t="shared" si="20"/>
        <v>65921.772487731199</v>
      </c>
      <c r="Q53" s="75">
        <f t="shared" si="20"/>
        <v>69517.639099326276</v>
      </c>
      <c r="R53" s="75">
        <f t="shared" si="20"/>
        <v>73327.032450753017</v>
      </c>
      <c r="S53" s="75">
        <f t="shared" si="20"/>
        <v>77353.166922121454</v>
      </c>
      <c r="T53" s="75">
        <f t="shared" si="20"/>
        <v>81580.22145400611</v>
      </c>
      <c r="U53" s="75">
        <f t="shared" si="20"/>
        <v>86035.495328824443</v>
      </c>
      <c r="V53" s="75">
        <f t="shared" si="20"/>
        <v>90733.580257037014</v>
      </c>
      <c r="W53" s="75">
        <f t="shared" si="20"/>
        <v>95723.911431869856</v>
      </c>
      <c r="X53" s="75">
        <f t="shared" si="20"/>
        <v>100999.16070242455</v>
      </c>
      <c r="Y53" s="75">
        <f t="shared" si="20"/>
        <v>106587.76180703731</v>
      </c>
      <c r="Z53" s="75">
        <f t="shared" si="20"/>
        <v>112457.57257340747</v>
      </c>
    </row>
    <row r="54" spans="1:26">
      <c r="B54" s="1" t="s">
        <v>491</v>
      </c>
      <c r="H54" s="75">
        <f>'Cashflow Phenol'!H19/((223000))*10^7</f>
        <v>66942.302690582947</v>
      </c>
      <c r="I54" s="75">
        <f>'Cashflow Phenol'!I19/((223000))*10^7</f>
        <v>78365.375690582965</v>
      </c>
      <c r="J54" s="75">
        <f>'Cashflow Phenol'!J19/((223000))*10^7</f>
        <v>82690.341409502944</v>
      </c>
      <c r="K54" s="75">
        <f>'Cashflow Phenol'!K19/((223000))*10^7</f>
        <v>87255.877645965389</v>
      </c>
      <c r="L54" s="75">
        <f>'Cashflow Phenol'!L19/((223000))*10^7</f>
        <v>92075.453867103002</v>
      </c>
      <c r="M54" s="75">
        <f>'Cashflow Phenol'!M19/((223000))*10^7</f>
        <v>97163.297789967444</v>
      </c>
      <c r="N54" s="75">
        <f>'Cashflow Phenol'!N19/((223000)*N3)*10^7</f>
        <v>102534.43825598423</v>
      </c>
      <c r="O54" s="75">
        <f>'Cashflow Phenol'!O19/((223000)*O3)*10^7</f>
        <v>108204.7505384189</v>
      </c>
      <c r="P54" s="75">
        <f>'Cashflow Phenol'!P19/((223000)*P3)*10^7</f>
        <v>114191.00422131816</v>
      </c>
      <c r="Q54" s="75">
        <f>'Cashflow Phenol'!Q19/((223000)*Q3)*10^7</f>
        <v>120510.91379629279</v>
      </c>
      <c r="R54" s="75">
        <f>'Cashflow Phenol'!R19/((223000)*R3)*10^7</f>
        <v>127183.19213185504</v>
      </c>
      <c r="S54" s="75">
        <f>'Cashflow Phenol'!S19/((223000)*S3)*10^7</f>
        <v>134227.60697885312</v>
      </c>
      <c r="T54" s="75">
        <f>'Cashflow Phenol'!T19/((223000)*T3)*10^7</f>
        <v>141665.04068487536</v>
      </c>
      <c r="U54" s="75">
        <f>'Cashflow Phenol'!U19/((223000)*U3)*10^7</f>
        <v>149517.55330036281</v>
      </c>
      <c r="V54" s="75">
        <f>'Cashflow Phenol'!V19/((223000)*V3)*10^7</f>
        <v>157808.44926959698</v>
      </c>
      <c r="W54" s="75">
        <f>'Cashflow Phenol'!W19/((223000)*W3)*10^7</f>
        <v>166562.34791075584</v>
      </c>
      <c r="X54" s="75">
        <f>'Cashflow Phenol'!X19/((223000)*X3)*10^7</f>
        <v>175805.25790088519</v>
      </c>
      <c r="Y54" s="75">
        <f>'Cashflow Phenol'!Y19/((223000)*Y3)*10^7</f>
        <v>185564.65599395722</v>
      </c>
      <c r="Z54" s="75">
        <f>'Cashflow Phenol'!Z19/((223000)*Z3)*10^7</f>
        <v>195869.57021321007</v>
      </c>
    </row>
    <row r="55" spans="1:26">
      <c r="B55" s="225" t="s">
        <v>481</v>
      </c>
      <c r="H55" s="75">
        <f>H50-H53</f>
        <v>38331.048832150831</v>
      </c>
      <c r="I55" s="75">
        <f t="shared" ref="I55:Z55" si="21">I50-I53</f>
        <v>35267.343182371667</v>
      </c>
      <c r="J55" s="75">
        <f t="shared" si="21"/>
        <v>35891.647129962897</v>
      </c>
      <c r="K55" s="75">
        <f t="shared" si="21"/>
        <v>38047.942757815421</v>
      </c>
      <c r="L55" s="75">
        <f t="shared" si="21"/>
        <v>40368.933316536961</v>
      </c>
      <c r="M55" s="75">
        <f t="shared" si="21"/>
        <v>42811.619871016781</v>
      </c>
      <c r="N55" s="75">
        <f t="shared" si="21"/>
        <v>45404.616496314651</v>
      </c>
      <c r="O55" s="75">
        <f t="shared" si="21"/>
        <v>48145.713949685916</v>
      </c>
      <c r="P55" s="75">
        <f t="shared" si="21"/>
        <v>51023.526584349631</v>
      </c>
      <c r="Q55" s="75">
        <f t="shared" si="21"/>
        <v>54156.692481362086</v>
      </c>
      <c r="R55" s="75">
        <f t="shared" si="21"/>
        <v>57463.520169088137</v>
      </c>
      <c r="S55" s="75">
        <f t="shared" si="21"/>
        <v>60963.074095465359</v>
      </c>
      <c r="T55" s="75">
        <f t="shared" si="21"/>
        <v>64694.736071732637</v>
      </c>
      <c r="U55" s="75">
        <f t="shared" si="21"/>
        <v>68656.123252945312</v>
      </c>
      <c r="V55" s="75">
        <f t="shared" si="21"/>
        <v>72858.994057927746</v>
      </c>
      <c r="W55" s="75">
        <f t="shared" si="21"/>
        <v>77281.779609178004</v>
      </c>
      <c r="X55" s="75">
        <f t="shared" si="21"/>
        <v>81961.277801125092</v>
      </c>
      <c r="Y55" s="75">
        <f t="shared" si="21"/>
        <v>86900.220328006573</v>
      </c>
      <c r="Z55" s="75">
        <f t="shared" si="21"/>
        <v>92163.708053686802</v>
      </c>
    </row>
    <row r="56" spans="1:26">
      <c r="B56" s="225" t="s">
        <v>492</v>
      </c>
      <c r="H56" s="75">
        <f>(H51*0.62)+(H52*0.38)/323000</f>
        <v>47763.84485591259</v>
      </c>
      <c r="I56" s="75">
        <f t="shared" ref="I56:Z56" si="22">(I51*0.62)+(I52*0.38)/323000</f>
        <v>50562.094643701552</v>
      </c>
      <c r="J56" s="75">
        <f t="shared" si="22"/>
        <v>53524.274906349201</v>
      </c>
      <c r="K56" s="75">
        <f t="shared" si="22"/>
        <v>56659.994496688923</v>
      </c>
      <c r="L56" s="75">
        <f t="shared" si="22"/>
        <v>59979.420216061189</v>
      </c>
      <c r="M56" s="75">
        <f t="shared" si="22"/>
        <v>63493.314487853102</v>
      </c>
      <c r="N56" s="75">
        <f t="shared" si="22"/>
        <v>67213.07025201543</v>
      </c>
      <c r="O56" s="75">
        <f t="shared" si="22"/>
        <v>71150.747903874886</v>
      </c>
      <c r="P56" s="75">
        <f t="shared" si="22"/>
        <v>75319.114397006575</v>
      </c>
      <c r="Q56" s="75">
        <f t="shared" si="22"/>
        <v>79731.684636948557</v>
      </c>
      <c r="R56" s="75">
        <f t="shared" si="22"/>
        <v>84402.765299966559</v>
      </c>
      <c r="S56" s="75">
        <f t="shared" si="22"/>
        <v>89347.501218941557</v>
      </c>
      <c r="T56" s="75">
        <f t="shared" si="22"/>
        <v>94581.924486774151</v>
      </c>
      <c r="U56" s="75">
        <f t="shared" si="22"/>
        <v>100123.00643651199</v>
      </c>
      <c r="V56" s="75">
        <f t="shared" si="22"/>
        <v>105988.71266673302</v>
      </c>
      <c r="W56" s="75">
        <f t="shared" si="22"/>
        <v>112198.0612905904</v>
      </c>
      <c r="X56" s="75">
        <f t="shared" si="22"/>
        <v>118771.18459737803</v>
      </c>
      <c r="Y56" s="75">
        <f t="shared" si="22"/>
        <v>125729.39432653887</v>
      </c>
      <c r="Z56" s="75">
        <f t="shared" si="22"/>
        <v>133095.25076575027</v>
      </c>
    </row>
    <row r="57" spans="1:26">
      <c r="H57" s="616">
        <f>H55/H50</f>
        <v>0.51279331810306972</v>
      </c>
      <c r="I57" s="226"/>
      <c r="J57" s="226"/>
      <c r="K57" s="226"/>
      <c r="L57" s="226"/>
      <c r="M57" s="226"/>
      <c r="N57" s="226"/>
      <c r="P57" s="226"/>
    </row>
    <row r="58" spans="1:26">
      <c r="B58" s="1" t="s">
        <v>75</v>
      </c>
      <c r="I58" s="226"/>
      <c r="J58" s="226"/>
      <c r="K58" s="226"/>
      <c r="L58" s="226"/>
      <c r="M58" s="226"/>
      <c r="N58" s="226"/>
      <c r="P58" s="226"/>
    </row>
    <row r="59" spans="1:26">
      <c r="B59" s="1" t="s">
        <v>74</v>
      </c>
    </row>
    <row r="63" spans="1:26">
      <c r="B63" s="1" t="s">
        <v>38</v>
      </c>
    </row>
    <row r="64" spans="1:26">
      <c r="B64" s="1" t="s">
        <v>39</v>
      </c>
    </row>
    <row r="65" spans="2:13">
      <c r="B65" s="1" t="s">
        <v>40</v>
      </c>
    </row>
    <row r="69" spans="2:13">
      <c r="H69" s="199"/>
      <c r="I69" s="199"/>
      <c r="J69" s="199"/>
      <c r="K69" s="199"/>
      <c r="L69" s="199"/>
      <c r="M69" s="199"/>
    </row>
    <row r="70" spans="2:13">
      <c r="H70" s="231"/>
      <c r="I70" s="231"/>
      <c r="J70" s="231"/>
      <c r="K70" s="231"/>
      <c r="L70" s="231">
        <v>0.05</v>
      </c>
      <c r="M70" s="231"/>
    </row>
    <row r="71" spans="2:13">
      <c r="H71" s="231"/>
      <c r="I71" s="231"/>
      <c r="J71" s="231"/>
      <c r="K71" s="231"/>
      <c r="L71" s="231"/>
      <c r="M71" s="231"/>
    </row>
  </sheetData>
  <mergeCells count="9">
    <mergeCell ref="R4:Z4"/>
    <mergeCell ref="B5:B6"/>
    <mergeCell ref="A7:G7"/>
    <mergeCell ref="J46:N46"/>
    <mergeCell ref="A1:H1"/>
    <mergeCell ref="A2:B2"/>
    <mergeCell ref="A3:B3"/>
    <mergeCell ref="A4:B4"/>
    <mergeCell ref="H4:Q4"/>
  </mergeCells>
  <hyperlinks>
    <hyperlink ref="B35" r:id="rId1" display="NPV@12%" xr:uid="{99DB65BD-8842-417F-B836-1EA398610FC6}"/>
  </hyperlink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B47C3-968A-4394-802F-2FA1A8A27CC6}">
  <sheetPr codeName="Sheet16"/>
  <dimension ref="A1:AA71"/>
  <sheetViews>
    <sheetView showGridLines="0" zoomScale="96" zoomScaleNormal="96" workbookViewId="0">
      <pane ySplit="8" topLeftCell="A9" activePane="bottomLeft" state="frozen"/>
      <selection activeCell="G10" sqref="G10"/>
      <selection pane="bottomLeft" activeCell="H33" sqref="H33"/>
    </sheetView>
  </sheetViews>
  <sheetFormatPr defaultColWidth="8.7109375" defaultRowHeight="12.75"/>
  <cols>
    <col min="1" max="1" width="8.85546875" style="58" bestFit="1" customWidth="1"/>
    <col min="2" max="2" width="60" style="1" bestFit="1" customWidth="1"/>
    <col min="3" max="3" width="20" style="1" bestFit="1" customWidth="1"/>
    <col min="4" max="4" width="8.140625" style="1" customWidth="1"/>
    <col min="5" max="5" width="20" style="1" bestFit="1" customWidth="1"/>
    <col min="6" max="6" width="12.28515625" style="1" customWidth="1"/>
    <col min="7" max="7" width="11.140625" style="1" customWidth="1"/>
    <col min="8" max="8" width="18" style="32" bestFit="1" customWidth="1"/>
    <col min="9" max="9" width="17.140625" style="32" customWidth="1"/>
    <col min="10" max="10" width="18.5703125" style="32" bestFit="1" customWidth="1"/>
    <col min="11" max="11" width="18.7109375" style="32" bestFit="1" customWidth="1"/>
    <col min="12" max="12" width="18.5703125" style="32" bestFit="1" customWidth="1"/>
    <col min="13" max="17" width="18.7109375" style="32" bestFit="1" customWidth="1"/>
    <col min="18" max="18" width="15" style="32" customWidth="1"/>
    <col min="19" max="19" width="16.28515625" style="32" customWidth="1"/>
    <col min="20" max="20" width="16.42578125" style="32" customWidth="1"/>
    <col min="21" max="21" width="18" style="32" customWidth="1"/>
    <col min="22" max="22" width="18.7109375" style="32" customWidth="1"/>
    <col min="23" max="23" width="19.140625" style="32" customWidth="1"/>
    <col min="24" max="24" width="20.42578125" style="32" customWidth="1"/>
    <col min="25" max="25" width="19" style="32" customWidth="1"/>
    <col min="26" max="26" width="19.28515625" style="32" customWidth="1"/>
    <col min="27" max="16384" width="8.7109375" style="1"/>
  </cols>
  <sheetData>
    <row r="1" spans="1:27" ht="12.75" customHeight="1">
      <c r="A1" s="1089" t="str">
        <f>'Opex PVC'!A62</f>
        <v>Capacity for 350 KTPA PVC Resin and 200 KTPA Phenol + 123 KTPA Acetone</v>
      </c>
      <c r="B1" s="1090"/>
      <c r="C1" s="1090"/>
      <c r="D1" s="1090"/>
      <c r="E1" s="1090"/>
      <c r="F1" s="1090"/>
      <c r="G1" s="1090"/>
      <c r="H1" s="1090"/>
      <c r="I1" s="620"/>
      <c r="J1" s="620"/>
      <c r="K1" s="620"/>
      <c r="L1" s="620"/>
      <c r="M1" s="620"/>
      <c r="N1" s="620"/>
      <c r="O1" s="620"/>
      <c r="P1" s="620"/>
      <c r="Q1" s="620"/>
      <c r="R1" s="620"/>
      <c r="S1" s="620"/>
      <c r="T1" s="620"/>
      <c r="U1" s="620"/>
      <c r="V1" s="620"/>
      <c r="W1" s="620"/>
      <c r="X1" s="620"/>
      <c r="Y1" s="620"/>
      <c r="Z1" s="620"/>
    </row>
    <row r="2" spans="1:27" s="167" customFormat="1" ht="15" customHeight="1">
      <c r="A2" s="1089" t="s">
        <v>445</v>
      </c>
      <c r="B2" s="1090"/>
      <c r="C2" s="166">
        <v>1</v>
      </c>
      <c r="D2" s="166">
        <v>2</v>
      </c>
      <c r="E2" s="166">
        <v>3</v>
      </c>
      <c r="F2" s="166">
        <v>4</v>
      </c>
      <c r="G2" s="166"/>
      <c r="H2" s="166">
        <v>5</v>
      </c>
      <c r="I2" s="166">
        <v>6</v>
      </c>
      <c r="J2" s="166">
        <v>7</v>
      </c>
      <c r="K2" s="166">
        <v>8</v>
      </c>
      <c r="L2" s="166">
        <v>9</v>
      </c>
      <c r="M2" s="166">
        <v>10</v>
      </c>
      <c r="N2" s="166">
        <v>11</v>
      </c>
      <c r="O2" s="166">
        <v>12</v>
      </c>
      <c r="P2" s="166">
        <v>13</v>
      </c>
      <c r="Q2" s="166">
        <v>14</v>
      </c>
      <c r="R2" s="166">
        <v>15</v>
      </c>
      <c r="S2" s="166">
        <v>16</v>
      </c>
      <c r="T2" s="166">
        <v>17</v>
      </c>
      <c r="U2" s="166">
        <v>18</v>
      </c>
      <c r="V2" s="166">
        <v>19</v>
      </c>
      <c r="W2" s="166">
        <v>20</v>
      </c>
      <c r="X2" s="166">
        <v>21</v>
      </c>
      <c r="Y2" s="166">
        <v>22</v>
      </c>
      <c r="Z2" s="166">
        <v>23</v>
      </c>
    </row>
    <row r="3" spans="1:27" s="167" customFormat="1" ht="15" customHeight="1">
      <c r="A3" s="1098" t="s">
        <v>223</v>
      </c>
      <c r="B3" s="1099"/>
      <c r="C3" s="158"/>
      <c r="D3" s="158"/>
      <c r="E3" s="158"/>
      <c r="F3" s="158"/>
      <c r="G3" s="158"/>
      <c r="H3" s="168">
        <v>0.7</v>
      </c>
      <c r="I3" s="168">
        <v>0.9</v>
      </c>
      <c r="J3" s="168">
        <v>1</v>
      </c>
      <c r="K3" s="168">
        <v>1</v>
      </c>
      <c r="L3" s="168">
        <v>1</v>
      </c>
      <c r="M3" s="168">
        <v>1</v>
      </c>
      <c r="N3" s="168">
        <v>1</v>
      </c>
      <c r="O3" s="168">
        <v>1</v>
      </c>
      <c r="P3" s="168">
        <v>1</v>
      </c>
      <c r="Q3" s="168">
        <v>1</v>
      </c>
      <c r="R3" s="168">
        <v>1</v>
      </c>
      <c r="S3" s="168">
        <v>1</v>
      </c>
      <c r="T3" s="168">
        <v>1</v>
      </c>
      <c r="U3" s="168">
        <v>1</v>
      </c>
      <c r="V3" s="168">
        <v>1</v>
      </c>
      <c r="W3" s="168">
        <v>1</v>
      </c>
      <c r="X3" s="168">
        <v>1</v>
      </c>
      <c r="Y3" s="168">
        <v>1</v>
      </c>
      <c r="Z3" s="168">
        <v>1</v>
      </c>
    </row>
    <row r="4" spans="1:27" ht="15" customHeight="1">
      <c r="A4" s="1096" t="s">
        <v>24</v>
      </c>
      <c r="B4" s="1097"/>
      <c r="C4" s="169"/>
      <c r="D4" s="169"/>
      <c r="E4" s="169"/>
      <c r="F4" s="169"/>
      <c r="G4" s="170"/>
      <c r="H4" s="1088" t="s">
        <v>25</v>
      </c>
      <c r="I4" s="1088"/>
      <c r="J4" s="1088"/>
      <c r="K4" s="1088"/>
      <c r="L4" s="1088"/>
      <c r="M4" s="1088"/>
      <c r="N4" s="1088"/>
      <c r="O4" s="1088"/>
      <c r="P4" s="1088"/>
      <c r="Q4" s="1088"/>
      <c r="R4" s="1088" t="s">
        <v>25</v>
      </c>
      <c r="S4" s="1088"/>
      <c r="T4" s="1088"/>
      <c r="U4" s="1088"/>
      <c r="V4" s="1088"/>
      <c r="W4" s="1088"/>
      <c r="X4" s="1088"/>
      <c r="Y4" s="1088"/>
      <c r="Z4" s="1088"/>
    </row>
    <row r="5" spans="1:27">
      <c r="A5" s="239"/>
      <c r="B5" s="1091"/>
      <c r="C5" s="238">
        <v>2023</v>
      </c>
      <c r="D5" s="238">
        <v>2024</v>
      </c>
      <c r="E5" s="238">
        <v>2025</v>
      </c>
      <c r="F5" s="238">
        <v>2026</v>
      </c>
      <c r="G5" s="238" t="s">
        <v>151</v>
      </c>
      <c r="H5" s="238">
        <v>2027</v>
      </c>
      <c r="I5" s="238">
        <v>2028</v>
      </c>
      <c r="J5" s="238">
        <v>2029</v>
      </c>
      <c r="K5" s="238">
        <v>2030</v>
      </c>
      <c r="L5" s="238">
        <v>2031</v>
      </c>
      <c r="M5" s="238">
        <v>2032</v>
      </c>
      <c r="N5" s="238">
        <v>2033</v>
      </c>
      <c r="O5" s="238">
        <v>2034</v>
      </c>
      <c r="P5" s="238">
        <v>2035</v>
      </c>
      <c r="Q5" s="238">
        <v>2036</v>
      </c>
      <c r="R5" s="238">
        <v>2037</v>
      </c>
      <c r="S5" s="238">
        <v>2038</v>
      </c>
      <c r="T5" s="238">
        <v>2039</v>
      </c>
      <c r="U5" s="238">
        <v>2040</v>
      </c>
      <c r="V5" s="238">
        <v>2041</v>
      </c>
      <c r="W5" s="238">
        <v>2042</v>
      </c>
      <c r="X5" s="238">
        <v>2043</v>
      </c>
      <c r="Y5" s="238">
        <v>2044</v>
      </c>
      <c r="Z5" s="238">
        <v>2045</v>
      </c>
    </row>
    <row r="6" spans="1:27">
      <c r="A6" s="240"/>
      <c r="B6" s="1092"/>
      <c r="C6" s="172">
        <v>0.05</v>
      </c>
      <c r="D6" s="172">
        <v>0.25</v>
      </c>
      <c r="E6" s="172">
        <v>0.35</v>
      </c>
      <c r="F6" s="172">
        <v>0.35</v>
      </c>
      <c r="G6" s="173"/>
      <c r="H6" s="174"/>
      <c r="I6" s="174"/>
      <c r="J6" s="174"/>
      <c r="K6" s="174"/>
      <c r="L6" s="174"/>
      <c r="M6" s="174"/>
      <c r="N6" s="175"/>
      <c r="O6" s="174"/>
      <c r="P6" s="175"/>
      <c r="Q6" s="174"/>
      <c r="R6" s="176"/>
      <c r="S6" s="176"/>
      <c r="T6" s="176"/>
      <c r="U6" s="176"/>
      <c r="V6" s="176"/>
      <c r="W6" s="176"/>
      <c r="X6" s="176"/>
      <c r="Y6" s="176"/>
      <c r="Z6" s="176"/>
    </row>
    <row r="7" spans="1:27" ht="19.5" customHeight="1">
      <c r="A7" s="1094" t="s">
        <v>243</v>
      </c>
      <c r="B7" s="1095"/>
      <c r="C7" s="1095"/>
      <c r="D7" s="1095"/>
      <c r="E7" s="1095"/>
      <c r="F7" s="1095"/>
      <c r="G7" s="1095"/>
      <c r="H7" s="177"/>
      <c r="I7" s="177"/>
      <c r="J7" s="177"/>
      <c r="K7" s="177"/>
      <c r="L7" s="177"/>
      <c r="M7" s="177"/>
      <c r="N7" s="178"/>
      <c r="O7" s="177"/>
      <c r="P7" s="178"/>
      <c r="Q7" s="177"/>
      <c r="R7" s="179"/>
      <c r="S7" s="179"/>
      <c r="T7" s="179"/>
      <c r="U7" s="179"/>
      <c r="V7" s="179"/>
      <c r="W7" s="179"/>
      <c r="X7" s="179"/>
      <c r="Y7" s="179"/>
      <c r="Z7" s="179"/>
    </row>
    <row r="8" spans="1:27" ht="21.75" customHeight="1">
      <c r="A8" s="180">
        <v>1</v>
      </c>
      <c r="B8" s="181" t="s">
        <v>502</v>
      </c>
      <c r="C8" s="182">
        <f>ROUND($G8*C$6,2)</f>
        <v>296.41000000000003</v>
      </c>
      <c r="D8" s="182">
        <f>ROUND($G8*D$6,2)</f>
        <v>1482.03</v>
      </c>
      <c r="E8" s="182">
        <f>ROUND($G8*E$6,2)</f>
        <v>2074.84</v>
      </c>
      <c r="F8" s="182">
        <f>ROUND($G8*F$6,2)</f>
        <v>2074.84</v>
      </c>
      <c r="G8" s="196">
        <f>'Cashflow 350 KTPA'!G8+[5]Capex!$D$22</f>
        <v>5928.1247678079999</v>
      </c>
      <c r="H8" s="183"/>
      <c r="I8" s="184"/>
      <c r="J8" s="183"/>
      <c r="K8" s="183"/>
      <c r="L8" s="183"/>
      <c r="M8" s="183"/>
      <c r="N8" s="185"/>
      <c r="O8" s="183"/>
      <c r="P8" s="183"/>
      <c r="Q8" s="183"/>
      <c r="R8" s="186"/>
      <c r="S8" s="186"/>
      <c r="T8" s="186"/>
      <c r="U8" s="186"/>
      <c r="V8" s="186"/>
      <c r="W8" s="186"/>
      <c r="X8" s="186"/>
      <c r="Y8" s="186"/>
      <c r="Z8" s="186"/>
    </row>
    <row r="9" spans="1:27" ht="21.75" customHeight="1">
      <c r="A9" s="52"/>
      <c r="B9" s="605" t="s">
        <v>503</v>
      </c>
      <c r="C9" s="606">
        <f t="shared" ref="C9:E9" si="0">$G$9*C6</f>
        <v>118.5</v>
      </c>
      <c r="D9" s="606">
        <f t="shared" si="0"/>
        <v>592.5</v>
      </c>
      <c r="E9" s="606">
        <f t="shared" si="0"/>
        <v>829.5</v>
      </c>
      <c r="F9" s="606">
        <f>$G$9*F6</f>
        <v>829.5</v>
      </c>
      <c r="G9" s="604">
        <v>2370</v>
      </c>
      <c r="H9" s="199"/>
      <c r="I9" s="262"/>
      <c r="J9" s="199"/>
      <c r="K9" s="199"/>
      <c r="L9" s="199"/>
      <c r="M9" s="199"/>
      <c r="N9" s="607"/>
      <c r="O9" s="199"/>
      <c r="P9" s="199"/>
      <c r="Q9" s="199"/>
    </row>
    <row r="10" spans="1:27" s="167" customFormat="1" ht="25.5" customHeight="1">
      <c r="A10" s="187"/>
      <c r="B10" s="188" t="s">
        <v>242</v>
      </c>
      <c r="C10" s="189">
        <f>SUM(C8:C9)</f>
        <v>414.91</v>
      </c>
      <c r="D10" s="189">
        <f t="shared" ref="D10:E10" si="1">SUM(D8:D9)</f>
        <v>2074.5299999999997</v>
      </c>
      <c r="E10" s="189">
        <f t="shared" si="1"/>
        <v>2904.34</v>
      </c>
      <c r="F10" s="189">
        <f>SUM(F8:F9)</f>
        <v>2904.34</v>
      </c>
      <c r="G10" s="242">
        <f>-G8-G9</f>
        <v>-8298.1247678079999</v>
      </c>
      <c r="H10" s="191"/>
      <c r="I10" s="191"/>
      <c r="J10" s="191"/>
      <c r="K10" s="191"/>
      <c r="L10" s="191"/>
      <c r="M10" s="191"/>
      <c r="N10" s="192"/>
      <c r="O10" s="192"/>
      <c r="P10" s="192"/>
      <c r="Q10" s="192"/>
      <c r="R10" s="193"/>
      <c r="S10" s="193"/>
      <c r="T10" s="193"/>
      <c r="U10" s="193"/>
      <c r="V10" s="193"/>
      <c r="W10" s="193"/>
      <c r="X10" s="193"/>
      <c r="Y10" s="193"/>
      <c r="Z10" s="193"/>
    </row>
    <row r="11" spans="1:27">
      <c r="A11" s="194">
        <v>2</v>
      </c>
      <c r="B11" s="195" t="s">
        <v>27</v>
      </c>
      <c r="C11" s="195"/>
      <c r="D11" s="195"/>
      <c r="E11" s="195"/>
      <c r="F11" s="195"/>
      <c r="G11" s="196"/>
      <c r="H11" s="197">
        <f>H12+H13+H14+H15</f>
        <v>4461.0919390932513</v>
      </c>
      <c r="I11" s="197">
        <f t="shared" ref="I11:Z11" si="2">I12+I13+I14+I15</f>
        <v>5681.9324814614465</v>
      </c>
      <c r="J11" s="197">
        <f t="shared" si="2"/>
        <v>6385.8926401717081</v>
      </c>
      <c r="K11" s="197">
        <f t="shared" si="2"/>
        <v>6743.5121296301859</v>
      </c>
      <c r="L11" s="197">
        <f t="shared" si="2"/>
        <v>7121.291440926283</v>
      </c>
      <c r="M11" s="197">
        <f t="shared" si="2"/>
        <v>7520.3732140359316</v>
      </c>
      <c r="N11" s="197">
        <f t="shared" si="2"/>
        <v>7941.9651395389074</v>
      </c>
      <c r="O11" s="197">
        <f t="shared" si="2"/>
        <v>8387.3436751986737</v>
      </c>
      <c r="P11" s="197">
        <f t="shared" si="2"/>
        <v>8857.857975493509</v>
      </c>
      <c r="Q11" s="197">
        <f t="shared" si="2"/>
        <v>9354.9340463285807</v>
      </c>
      <c r="R11" s="197">
        <f t="shared" si="2"/>
        <v>9880.0791378621216</v>
      </c>
      <c r="S11" s="197">
        <f t="shared" si="2"/>
        <v>10434.886389123145</v>
      </c>
      <c r="T11" s="197">
        <f t="shared" si="2"/>
        <v>11021.0397388851</v>
      </c>
      <c r="U11" s="197">
        <f t="shared" si="2"/>
        <v>11640.319118092293</v>
      </c>
      <c r="V11" s="197">
        <f t="shared" si="2"/>
        <v>12294.605940016219</v>
      </c>
      <c r="W11" s="197">
        <f t="shared" si="2"/>
        <v>12985.888905250189</v>
      </c>
      <c r="X11" s="197">
        <f t="shared" si="2"/>
        <v>13716.270139635148</v>
      </c>
      <c r="Y11" s="197">
        <f t="shared" si="2"/>
        <v>14487.971684251412</v>
      </c>
      <c r="Z11" s="197">
        <f t="shared" si="2"/>
        <v>15303.342357712343</v>
      </c>
    </row>
    <row r="12" spans="1:27" s="167" customFormat="1">
      <c r="A12" s="52"/>
      <c r="B12" s="162" t="s">
        <v>87</v>
      </c>
      <c r="C12" s="162"/>
      <c r="D12" s="162"/>
      <c r="E12" s="162"/>
      <c r="F12" s="162"/>
      <c r="G12" s="198">
        <v>1</v>
      </c>
      <c r="H12" s="199">
        <f>IF(H$2&lt;=$C$48,0,Sales!E5*H$3*(1+$C$47)^(H$2-$C$48-1))</f>
        <v>1831.362974583333</v>
      </c>
      <c r="I12" s="199">
        <f>IF(I$2&lt;=$C$48,0,Sales!F5*I$3*(1+$C$47)^(I$2-$C$48-1))</f>
        <v>2490.0937716096746</v>
      </c>
      <c r="J12" s="199">
        <f>IF(J$2&lt;=$C$48,0,Sales!G5*J$3*(1+$C$47)^(J$2-$C$48-1))</f>
        <v>2925.9708524756611</v>
      </c>
      <c r="K12" s="199">
        <f>IF(K$2&lt;=$C$48,0,Sales!H5*K$3*(1+$C$47)^(K$2-$C$48-1))</f>
        <v>3094.3312153271104</v>
      </c>
      <c r="L12" s="199">
        <f>IF(L$2&lt;=$C$48,0,Sales!I5*L$3*(1+$C$47)^(L$2-$C$48-1))</f>
        <v>3272.3790334570317</v>
      </c>
      <c r="M12" s="199">
        <f>IF(M$2&lt;=$C$48,0,Sales!J5*M$3*(1+$C$47)^(M$2-$C$48-1))</f>
        <v>3460.6717230421491</v>
      </c>
      <c r="N12" s="199">
        <f>IF(N$2&lt;=$C$48,0,Sales!K5*N$3*(1+$C$47)^(N$2-$C$48-1))</f>
        <v>3659.7987739859932</v>
      </c>
      <c r="O12" s="199">
        <f>IF(O$2&lt;=$C$48,0,Sales!L5*O$3*(1+$C$47)^(O$2-$C$48-1))</f>
        <v>3870.3835954411475</v>
      </c>
      <c r="P12" s="199">
        <f>IF(P$2&lt;=$C$48,0,Sales!M5*P$3*(1+$C$47)^(P$2-$C$48-1))</f>
        <v>4093.0854675228293</v>
      </c>
      <c r="Q12" s="199">
        <f>IF(Q$2&lt;=$C$48,0,Sales!N5*Q$3*(1+$C$47)^(Q$2-$C$48-1))</f>
        <v>4328.6016053240928</v>
      </c>
      <c r="R12" s="199">
        <f>IF(R$2&lt;=$C$48,0,Sales!O5*R$3*(1+$C$47)^(R$2-$C$48-1))</f>
        <v>4577.6693416944408</v>
      </c>
      <c r="S12" s="199">
        <f>IF(S$2&lt;=$C$48,0,Sales!P5*S$3*(1+$C$47)^(S$2-$C$48-1))</f>
        <v>4841.0684356155389</v>
      </c>
      <c r="T12" s="199">
        <f>IF(T$2&lt;=$C$48,0,Sales!Q5*T$3*(1+$C$47)^(T$2-$C$48-1))</f>
        <v>5119.6235134008557</v>
      </c>
      <c r="U12" s="199">
        <f>IF(U$2&lt;=$C$48,0,Sales!R5*U$3*(1+$C$47)^(U$2-$C$48-1))</f>
        <v>5414.2066503619417</v>
      </c>
      <c r="V12" s="199">
        <f>IF(V$2&lt;=$C$48,0,Sales!S5*V$3*(1+$C$47)^(V$2-$C$48-1))</f>
        <v>5725.7401010237663</v>
      </c>
      <c r="W12" s="199">
        <f>IF(W$2&lt;=$C$48,0,Sales!T5*W$3*(1+$C$47)^(W$2-$C$48-1))</f>
        <v>6055.1991864366746</v>
      </c>
      <c r="X12" s="199">
        <f>IF(X$2&lt;=$C$48,0,Sales!U5*X$3*(1+$C$47)^(X$2-$C$48-1))</f>
        <v>6403.615347624238</v>
      </c>
      <c r="Y12" s="199">
        <f>IF(Y$2&lt;=$C$48,0,Sales!V5*Y$3*(1+$C$47)^(Y$2-$C$48-1))</f>
        <v>6772.0793747265361</v>
      </c>
      <c r="Z12" s="199">
        <f>IF(Z$2&lt;=$C$48,0,Sales!W5*Z$3*(1+$C$47)^(Z$2-$C$48-1))</f>
        <v>7161.7448219482994</v>
      </c>
    </row>
    <row r="13" spans="1:27">
      <c r="A13" s="52"/>
      <c r="B13" s="162" t="s">
        <v>460</v>
      </c>
      <c r="C13" s="162"/>
      <c r="D13" s="162"/>
      <c r="E13" s="162"/>
      <c r="F13" s="162"/>
      <c r="G13" s="201"/>
      <c r="H13" s="202">
        <v>1386.6910392857144</v>
      </c>
      <c r="I13" s="202">
        <v>1631.0337042469644</v>
      </c>
      <c r="J13" s="202">
        <v>1726.5878138102726</v>
      </c>
      <c r="K13" s="202">
        <v>1827.7399608823475</v>
      </c>
      <c r="L13" s="202">
        <v>1934.8181064906394</v>
      </c>
      <c r="M13" s="202">
        <v>2048.1694252593934</v>
      </c>
      <c r="N13" s="202">
        <v>2168.1614310382142</v>
      </c>
      <c r="O13" s="202">
        <v>2295.1831684755884</v>
      </c>
      <c r="P13" s="202">
        <v>2429.6464744007299</v>
      </c>
      <c r="Q13" s="202">
        <v>2571.9873131034965</v>
      </c>
      <c r="R13" s="202">
        <v>2722.6671898416648</v>
      </c>
      <c r="S13" s="202">
        <v>2882.1746471585388</v>
      </c>
      <c r="T13" s="202">
        <v>3051.026848862321</v>
      </c>
      <c r="U13" s="202">
        <v>3229.7712568029201</v>
      </c>
      <c r="V13" s="202">
        <v>3418.9874058827181</v>
      </c>
      <c r="W13" s="202">
        <v>3619.2887830563573</v>
      </c>
      <c r="X13" s="202">
        <v>3831.3248164117126</v>
      </c>
      <c r="Y13" s="202">
        <v>4055.7829807811931</v>
      </c>
      <c r="Z13" s="202">
        <v>4293.3910267102583</v>
      </c>
      <c r="AA13" s="202"/>
    </row>
    <row r="14" spans="1:27">
      <c r="A14" s="52"/>
      <c r="B14" s="162" t="s">
        <v>461</v>
      </c>
      <c r="C14" s="162"/>
      <c r="D14" s="162"/>
      <c r="E14" s="162"/>
      <c r="F14" s="162"/>
      <c r="G14" s="201"/>
      <c r="H14" s="202">
        <v>648.5918912236607</v>
      </c>
      <c r="I14" s="202">
        <v>762.12429849407783</v>
      </c>
      <c r="J14" s="202">
        <v>805.97693062942699</v>
      </c>
      <c r="K14" s="202">
        <v>852.35284321784422</v>
      </c>
      <c r="L14" s="202">
        <v>901.39722581659873</v>
      </c>
      <c r="M14" s="202">
        <v>953.26362219008581</v>
      </c>
      <c r="N14" s="202">
        <v>1008.1144110109032</v>
      </c>
      <c r="O14" s="202">
        <v>1066.1213142204706</v>
      </c>
      <c r="P14" s="202">
        <v>1127.4659346407161</v>
      </c>
      <c r="Q14" s="202">
        <v>1192.3403245199427</v>
      </c>
      <c r="R14" s="202">
        <v>1260.9475867928199</v>
      </c>
      <c r="S14" s="202">
        <v>1333.5025109368789</v>
      </c>
      <c r="T14" s="202">
        <v>1410.2322454161865</v>
      </c>
      <c r="U14" s="202">
        <v>1491.3770088174342</v>
      </c>
      <c r="V14" s="202">
        <v>1577.1908419047888</v>
      </c>
      <c r="W14" s="202">
        <v>1667.9424029479906</v>
      </c>
      <c r="X14" s="202">
        <v>1763.9158088136171</v>
      </c>
      <c r="Y14" s="202">
        <v>1865.4115244527527</v>
      </c>
      <c r="Z14" s="202">
        <v>1972.7473035697635</v>
      </c>
      <c r="AA14" s="202"/>
    </row>
    <row r="15" spans="1:27">
      <c r="A15" s="603"/>
      <c r="B15" s="17" t="s">
        <v>522</v>
      </c>
      <c r="C15" s="558"/>
      <c r="D15" s="558"/>
      <c r="E15" s="558"/>
      <c r="F15" s="558"/>
      <c r="G15" s="604"/>
      <c r="H15" s="199">
        <f>IF(H$2&lt;=$C$48,0,'Net Change in Margin'!$B$43*H$3*(1+$C$47)^(H$2-$C$48-1))</f>
        <v>594.44603400054325</v>
      </c>
      <c r="I15" s="199">
        <f>IF(I$2&lt;=$C$48,0,'Net Change in Margin'!$B$43*I$3*(1+$C$47)^(I$2-$C$48-1))</f>
        <v>798.68070711072994</v>
      </c>
      <c r="J15" s="199">
        <f>IF(J$2&lt;=$C$48,0,'Net Change in Margin'!$B$43*J$3*(1+$C$47)^(J$2-$C$48-1))</f>
        <v>927.35704325634742</v>
      </c>
      <c r="K15" s="199">
        <f>IF(K$2&lt;=$C$48,0,'Net Change in Margin'!$B$43*K$3*(1+$C$47)^(K$2-$C$48-1))</f>
        <v>969.08811020288306</v>
      </c>
      <c r="L15" s="199">
        <f>IF(L$2&lt;=$C$48,0,'Net Change in Margin'!$B$43*L$3*(1+$C$47)^(L$2-$C$48-1))</f>
        <v>1012.6970751620125</v>
      </c>
      <c r="M15" s="199">
        <f>IF(M$2&lt;=$C$48,0,'Net Change in Margin'!$B$43*M$3*(1+$C$47)^(M$2-$C$48-1))</f>
        <v>1058.2684435443032</v>
      </c>
      <c r="N15" s="199">
        <f>IF(N$2&lt;=$C$48,0,'Net Change in Margin'!$B$43*N$3*(1+$C$47)^(N$2-$C$48-1))</f>
        <v>1105.8905235037964</v>
      </c>
      <c r="O15" s="199">
        <f>IF(O$2&lt;=$C$48,0,'Net Change in Margin'!$B$43*O$3*(1+$C$47)^(O$2-$C$48-1))</f>
        <v>1155.6555970614675</v>
      </c>
      <c r="P15" s="199">
        <f>IF(P$2&lt;=$C$48,0,'Net Change in Margin'!$B$43*P$3*(1+$C$47)^(P$2-$C$48-1))</f>
        <v>1207.6600989292331</v>
      </c>
      <c r="Q15" s="199">
        <f>IF(Q$2&lt;=$C$48,0,'Net Change in Margin'!$B$43*Q$3*(1+$C$47)^(Q$2-$C$48-1))</f>
        <v>1262.0048033810485</v>
      </c>
      <c r="R15" s="199">
        <f>IF(R$2&lt;=$C$48,0,'Net Change in Margin'!$B$43*R$3*(1+$C$47)^(R$2-$C$48-1))</f>
        <v>1318.7950195331953</v>
      </c>
      <c r="S15" s="199">
        <f>IF(S$2&lt;=$C$48,0,'Net Change in Margin'!$B$43*S$3*(1+$C$47)^(S$2-$C$48-1))</f>
        <v>1378.1407954121892</v>
      </c>
      <c r="T15" s="199">
        <f>IF(T$2&lt;=$C$48,0,'Net Change in Margin'!$B$43*T$3*(1+$C$47)^(T$2-$C$48-1))</f>
        <v>1440.1571312057374</v>
      </c>
      <c r="U15" s="199">
        <f>IF(U$2&lt;=$C$48,0,'Net Change in Margin'!$B$43*U$3*(1+$C$47)^(U$2-$C$48-1))</f>
        <v>1504.9642021099955</v>
      </c>
      <c r="V15" s="199">
        <f>IF(V$2&lt;=$C$48,0,'Net Change in Margin'!$B$43*V$3*(1+$C$47)^(V$2-$C$48-1))</f>
        <v>1572.687591204945</v>
      </c>
      <c r="W15" s="199">
        <f>IF(W$2&lt;=$C$48,0,'Net Change in Margin'!$B$43*W$3*(1+$C$47)^(W$2-$C$48-1))</f>
        <v>1643.4585328091678</v>
      </c>
      <c r="X15" s="199">
        <f>IF(X$2&lt;=$C$48,0,'Net Change in Margin'!$B$43*X$3*(1+$C$47)^(X$2-$C$48-1))</f>
        <v>1717.4141667855795</v>
      </c>
      <c r="Y15" s="199">
        <f>IF(Y$2&lt;=$C$48,0,'Net Change in Margin'!$B$43*Y$3*(1+$C$47)^(Y$2-$C$48-1))</f>
        <v>1794.6978042909307</v>
      </c>
      <c r="Z15" s="199">
        <f>IF(Z$2&lt;=$C$48,0,'Net Change in Margin'!$B$43*Z$3*(1+$C$47)^(Z$2-$C$48-1))</f>
        <v>1875.459205484022</v>
      </c>
    </row>
    <row r="16" spans="1:27">
      <c r="A16" s="52"/>
      <c r="B16" s="17"/>
      <c r="C16" s="17"/>
      <c r="D16" s="17"/>
      <c r="E16" s="17"/>
      <c r="F16" s="17"/>
      <c r="G16" s="201"/>
      <c r="H16" s="199"/>
      <c r="I16" s="199"/>
      <c r="J16" s="199"/>
      <c r="K16" s="199"/>
      <c r="L16" s="199"/>
      <c r="M16" s="199"/>
      <c r="N16" s="199"/>
      <c r="O16" s="199"/>
      <c r="P16" s="199"/>
      <c r="Q16" s="199"/>
    </row>
    <row r="17" spans="1:26">
      <c r="A17" s="194">
        <v>3</v>
      </c>
      <c r="B17" s="195" t="s">
        <v>107</v>
      </c>
      <c r="C17" s="195"/>
      <c r="D17" s="195"/>
      <c r="E17" s="195"/>
      <c r="F17" s="195"/>
      <c r="G17" s="207"/>
      <c r="H17" s="183"/>
      <c r="I17" s="183"/>
      <c r="J17" s="183"/>
      <c r="K17" s="183"/>
      <c r="L17" s="183"/>
      <c r="M17" s="183"/>
      <c r="N17" s="183"/>
      <c r="O17" s="183"/>
      <c r="P17" s="183"/>
      <c r="Q17" s="183"/>
      <c r="R17" s="186"/>
      <c r="S17" s="186"/>
      <c r="T17" s="186"/>
      <c r="U17" s="186"/>
      <c r="V17" s="186"/>
      <c r="W17" s="186"/>
      <c r="X17" s="186"/>
      <c r="Y17" s="186"/>
      <c r="Z17" s="186"/>
    </row>
    <row r="18" spans="1:26">
      <c r="A18" s="52"/>
      <c r="B18" s="17" t="s">
        <v>12</v>
      </c>
      <c r="C18" s="17"/>
      <c r="D18" s="17"/>
      <c r="E18" s="17"/>
      <c r="F18" s="263"/>
      <c r="G18" s="208">
        <f t="shared" ref="G18:G23" si="3">J18/$J$24</f>
        <v>0.73264432624254716</v>
      </c>
      <c r="H18" s="199">
        <f>IF(H$2&lt;=$C$48,0,'Opex PVC'!E64*H$3*(1+$C$47)^(H$2-$C$48-1))+'Cashflow Phenol'!H14</f>
        <v>1737.9815164706479</v>
      </c>
      <c r="I18" s="199">
        <f>IF(I$2&lt;=$C$48,0,'Opex PVC'!F64*I$3*(1+$C$47)^(I$2-$C$48-1))+'Cashflow Phenol'!I14</f>
        <v>2141.4711350877678</v>
      </c>
      <c r="J18" s="899">
        <f>IF(J$2&lt;=$C$48,0,'Opex PVC'!G64*J$3*(1+$C$47)^(J$2-$C$48-1))+'Cashflow Phenol'!J14</f>
        <v>2352.3129350334357</v>
      </c>
      <c r="K18" s="199">
        <f>IF(K$2&lt;=$C$48,0,'Opex PVC'!H64*K$3*(1+$C$47)^(K$2-$C$48-1))+'Cashflow Phenol'!K14</f>
        <v>2490.0649396560043</v>
      </c>
      <c r="L18" s="199">
        <f>IF(L$2&lt;=$C$48,0,'Opex PVC'!I64*L$3*(1+$C$47)^(L$2-$C$48-1))+'Cashflow Phenol'!L14</f>
        <v>2633.4375274323902</v>
      </c>
      <c r="M18" s="199">
        <f>IF(M$2&lt;=$C$48,0,'Opex PVC'!J64*M$3*(1+$C$47)^(M$2-$C$48-1))+'Cashflow Phenol'!M14</f>
        <v>2786.3611016856557</v>
      </c>
      <c r="N18" s="199">
        <f>IF(N$2&lt;=$C$48,0,'Opex PVC'!K64*N$3*(1+$C$47)^(N$2-$C$48-1))+'Cashflow Phenol'!N14</f>
        <v>2947.8495441158739</v>
      </c>
      <c r="O18" s="199">
        <f>IF(O$2&lt;=$C$48,0,'Opex PVC'!L64*O$3*(1+$C$47)^(O$2-$C$48-1))+'Cashflow Phenol'!O14</f>
        <v>3119.1452291561518</v>
      </c>
      <c r="P18" s="199">
        <f>IF(P$2&lt;=$C$48,0,'Opex PVC'!M64*P$3*(1+$C$47)^(P$2-$C$48-1))+'Cashflow Phenol'!P14</f>
        <v>3302.1718684443622</v>
      </c>
      <c r="Q18" s="199">
        <f>IF(Q$2&lt;=$C$48,0,'Opex PVC'!N64*Q$3*(1+$C$47)^(Q$2-$C$48-1))+'Cashflow Phenol'!Q14</f>
        <v>3490.1700478287239</v>
      </c>
      <c r="R18" s="199">
        <f>IF(R$2&lt;=$C$48,0,'Opex PVC'!O64*R$3*(1+$C$47)^(R$2-$C$48-1))+'Cashflow Phenol'!R14</f>
        <v>3689.9339238800339</v>
      </c>
      <c r="S18" s="199">
        <f>IF(S$2&lt;=$C$48,0,'Opex PVC'!P64*S$3*(1+$C$47)^(S$2-$C$48-1))+'Cashflow Phenol'!S14</f>
        <v>3901.5523196258528</v>
      </c>
      <c r="T18" s="199">
        <f>IF(T$2&lt;=$C$48,0,'Opex PVC'!Q64*T$3*(1+$C$47)^(T$2-$C$48-1))+'Cashflow Phenol'!T14</f>
        <v>4123.8266278412375</v>
      </c>
      <c r="U18" s="199">
        <f>IF(U$2&lt;=$C$48,0,'Opex PVC'!R64*U$3*(1+$C$47)^(U$2-$C$48-1))+'Cashflow Phenol'!U14</f>
        <v>4358.4535737609267</v>
      </c>
      <c r="V18" s="199">
        <f>IF(V$2&lt;=$C$48,0,'Opex PVC'!S64*V$3*(1+$C$47)^(V$2-$C$48-1))+'Cashflow Phenol'!V14</f>
        <v>4606.2676585294357</v>
      </c>
      <c r="W18" s="199">
        <f>IF(W$2&lt;=$C$48,0,'Opex PVC'!T64*W$3*(1+$C$47)^(W$2-$C$48-1))+'Cashflow Phenol'!W14</f>
        <v>4870.4409897852966</v>
      </c>
      <c r="X18" s="199">
        <f>IF(X$2&lt;=$C$48,0,'Opex PVC'!U64*X$3*(1+$C$47)^(X$2-$C$48-1))+'Cashflow Phenol'!X14</f>
        <v>5150.3177684481989</v>
      </c>
      <c r="Y18" s="199">
        <f>IF(Y$2&lt;=$C$48,0,'Opex PVC'!V64*Y$3*(1+$C$47)^(Y$2-$C$48-1))+'Cashflow Phenol'!Y14</f>
        <v>5447.6408438298904</v>
      </c>
      <c r="Z18" s="199">
        <f>IF(Z$2&lt;=$C$48,0,'Opex PVC'!W64*Z$3*(1+$C$47)^(Z$2-$C$48-1))+'Cashflow Phenol'!Z14</f>
        <v>5760.0677662596026</v>
      </c>
    </row>
    <row r="19" spans="1:26">
      <c r="A19" s="52"/>
      <c r="B19" s="17" t="s">
        <v>14</v>
      </c>
      <c r="C19" s="17"/>
      <c r="D19" s="17"/>
      <c r="E19" s="17"/>
      <c r="F19" s="907">
        <f>'Cashflow - PVC Phenol Propane'!J18+'Cashflow - PVC Phenol Propane'!J19+'Cashflow - PVC Phenol Propane'!J21+'Cashflow - PVC Phenol Propane'!J23</f>
        <v>3049.9799836197408</v>
      </c>
      <c r="G19" s="208">
        <f t="shared" si="3"/>
        <v>4.6563449859167223E-2</v>
      </c>
      <c r="H19" s="199">
        <f>IF(H$2&lt;=$C$48,0,'Opex PVC'!E68*H$3*(1+$C$47)^(H$2-$C$48-1))</f>
        <v>92.910999999999987</v>
      </c>
      <c r="I19" s="199">
        <f>IF(I$2&lt;=$C$48,0,'Opex PVC'!F68*I$3*(1+$C$47)^(I$2-$C$48-1))</f>
        <v>126.76746975749997</v>
      </c>
      <c r="J19" s="899">
        <f>IF(J$2&lt;=$C$48,0,'Opex PVC'!G68*J$3*(1+$C$47)^(J$2-$C$48-1))</f>
        <v>149.50201821018209</v>
      </c>
      <c r="K19" s="199">
        <f>IF(K$2&lt;=$C$48,0,'Opex PVC'!H68*K$3*(1+$C$47)^(K$2-$C$48-1))</f>
        <v>158.46369243876413</v>
      </c>
      <c r="L19" s="199">
        <f>IF(L$2&lt;=$C$48,0,'Opex PVC'!I68*L$3*(1+$C$47)^(L$2-$C$48-1))</f>
        <v>167.91288241888759</v>
      </c>
      <c r="M19" s="199">
        <f>IF(M$2&lt;=$C$48,0,'Opex PVC'!J68*M$3*(1+$C$47)^(M$2-$C$48-1))</f>
        <v>177.8202462202492</v>
      </c>
      <c r="N19" s="199">
        <f>IF(N$2&lt;=$C$48,0,'Opex PVC'!K68*N$3*(1+$C$47)^(N$2-$C$48-1))</f>
        <v>188.31217420798251</v>
      </c>
      <c r="O19" s="199">
        <f>IF(O$2&lt;=$C$48,0,'Opex PVC'!L68*O$3*(1+$C$47)^(O$2-$C$48-1))</f>
        <v>199.42315742277611</v>
      </c>
      <c r="P19" s="199">
        <f>IF(P$2&lt;=$C$48,0,'Opex PVC'!M68*P$3*(1+$C$47)^(P$2-$C$48-1))</f>
        <v>211.18972198019213</v>
      </c>
      <c r="Q19" s="199">
        <f>IF(Q$2&lt;=$C$48,0,'Opex PVC'!N68*Q$3*(1+$C$47)^(Q$2-$C$48-1))</f>
        <v>223.65054914618941</v>
      </c>
      <c r="R19" s="199">
        <f>IF(R$2&lt;=$C$48,0,'Opex PVC'!O68*R$3*(1+$C$47)^(R$2-$C$48-1))</f>
        <v>236.84660249746196</v>
      </c>
      <c r="S19" s="199">
        <f>IF(S$2&lt;=$C$48,0,'Opex PVC'!P68*S$3*(1+$C$47)^(S$2-$C$48-1))</f>
        <v>250.82126258461975</v>
      </c>
      <c r="T19" s="199">
        <f>IF(T$2&lt;=$C$48,0,'Opex PVC'!Q68*T$3*(1+$C$47)^(T$2-$C$48-1))</f>
        <v>265.62046954089999</v>
      </c>
      <c r="U19" s="199">
        <f>IF(U$2&lt;=$C$48,0,'Opex PVC'!R68*U$3*(1+$C$47)^(U$2-$C$48-1))</f>
        <v>281.29287410522176</v>
      </c>
      <c r="V19" s="199">
        <f>IF(V$2&lt;=$C$48,0,'Opex PVC'!S68*V$3*(1+$C$47)^(V$2-$C$48-1))</f>
        <v>297.88999755605204</v>
      </c>
      <c r="W19" s="199">
        <f>IF(W$2&lt;=$C$48,0,'Opex PVC'!T68*W$3*(1+$C$47)^(W$2-$C$48-1))</f>
        <v>315.46640108185181</v>
      </c>
      <c r="X19" s="199">
        <f>IF(X$2&lt;=$C$48,0,'Opex PVC'!U68*X$3*(1+$C$47)^(X$2-$C$48-1))</f>
        <v>334.07986514488414</v>
      </c>
      <c r="Y19" s="199">
        <f>IF(Y$2&lt;=$C$48,0,'Opex PVC'!V68*Y$3*(1+$C$47)^(Y$2-$C$48-1))</f>
        <v>353.79157942802772</v>
      </c>
      <c r="Z19" s="199">
        <f>IF(Z$2&lt;=$C$48,0,'Opex PVC'!W68*Z$3*(1+$C$47)^(Z$2-$C$48-1))</f>
        <v>374.66634398901959</v>
      </c>
    </row>
    <row r="20" spans="1:26">
      <c r="A20" s="52"/>
      <c r="B20" s="17" t="s">
        <v>15</v>
      </c>
      <c r="C20" s="17"/>
      <c r="D20" s="17"/>
      <c r="E20" s="17">
        <f>'Cashflow - PVC Phenol Propane'!E23</f>
        <v>0</v>
      </c>
      <c r="F20" s="907">
        <f>'Cashflow - PVC Phenol Propane'!J20+'Cashflow - PVC Phenol Propane'!J22</f>
        <v>160.73611800838478</v>
      </c>
      <c r="G20" s="208">
        <f t="shared" si="3"/>
        <v>1.6805271329545114E-2</v>
      </c>
      <c r="H20" s="199">
        <f>IF(H$2&lt;=$C$48,0,'Opex PVC'!$E$69*(1+$C$47)^(H$2-$C$48-1))+'Cashflow Phenol'!H15</f>
        <v>49.41</v>
      </c>
      <c r="I20" s="199">
        <f>IF(I$2&lt;=$C$48,0,'Opex PVC'!$E$69*(1+$C$47)^(I$2-$C$48-1))+'Cashflow Phenol'!I15</f>
        <v>51.633449999999996</v>
      </c>
      <c r="J20" s="899">
        <f>IF(J$2&lt;=$C$48,0,'Opex PVC'!$E$69*(1+$C$47)^(J$2-$C$48-1))+'Cashflow Phenol'!J15</f>
        <v>53.956955249999993</v>
      </c>
      <c r="K20" s="199">
        <f>IF(K$2&lt;=$C$48,0,'Opex PVC'!$E$69*(1+$C$47)^(K$2-$C$48-1))+'Cashflow Phenol'!K15</f>
        <v>56.385018236249991</v>
      </c>
      <c r="L20" s="199">
        <f>IF(L$2&lt;=$C$48,0,'Opex PVC'!$E$69*(1+$C$47)^(L$2-$C$48-1))+'Cashflow Phenol'!L15</f>
        <v>58.922344056881229</v>
      </c>
      <c r="M20" s="199">
        <f>IF(M$2&lt;=$C$48,0,'Opex PVC'!$E$69*(1+$C$47)^(M$2-$C$48-1))+'Cashflow Phenol'!M15</f>
        <v>61.573849539440886</v>
      </c>
      <c r="N20" s="199">
        <f>IF(N$2&lt;=$C$48,0,'Opex PVC'!$E$69*(1+$C$47)^(N$2-$C$48-1))+'Cashflow Phenol'!N15</f>
        <v>64.344672768715697</v>
      </c>
      <c r="O20" s="199">
        <f>IF(O$2&lt;=$C$48,0,'Opex PVC'!$E$69*(1+$C$47)^(O$2-$C$48-1))+'Cashflow Phenol'!O15</f>
        <v>67.240183043307923</v>
      </c>
      <c r="P20" s="199">
        <f>IF(P$2&lt;=$C$48,0,'Opex PVC'!$E$69*(1+$C$47)^(P$2-$C$48-1))+'Cashflow Phenol'!P15</f>
        <v>70.265991280256742</v>
      </c>
      <c r="Q20" s="199">
        <f>IF(Q$2&lt;=$C$48,0,'Opex PVC'!$E$69*(1+$C$47)^(Q$2-$C$48-1))+'Cashflow Phenol'!Q15</f>
        <v>73.427960887868295</v>
      </c>
      <c r="R20" s="199">
        <f>IF(R$2&lt;=$C$48,0,'Opex PVC'!$E$69*(1+$C$47)^(R$2-$C$48-1))+'Cashflow Phenol'!R15</f>
        <v>76.732219127822361</v>
      </c>
      <c r="S20" s="199">
        <f>IF(S$2&lt;=$C$48,0,'Opex PVC'!$E$69*(1+$C$47)^(S$2-$C$48-1))+'Cashflow Phenol'!S15</f>
        <v>80.185168988574361</v>
      </c>
      <c r="T20" s="199">
        <f>IF(T$2&lt;=$C$48,0,'Opex PVC'!$E$69*(1+$C$47)^(T$2-$C$48-1))+'Cashflow Phenol'!T15</f>
        <v>83.793501593060199</v>
      </c>
      <c r="U20" s="199">
        <f>IF(U$2&lt;=$C$48,0,'Opex PVC'!$E$69*(1+$C$47)^(U$2-$C$48-1))+'Cashflow Phenol'!U15</f>
        <v>87.564209164747908</v>
      </c>
      <c r="V20" s="199">
        <f>IF(V$2&lt;=$C$48,0,'Opex PVC'!$E$69*(1+$C$47)^(V$2-$C$48-1))+'Cashflow Phenol'!V15</f>
        <v>91.504598577161545</v>
      </c>
      <c r="W20" s="199">
        <f>IF(W$2&lt;=$C$48,0,'Opex PVC'!$E$69*(1+$C$47)^(W$2-$C$48-1))+'Cashflow Phenol'!W15</f>
        <v>95.622305513133824</v>
      </c>
      <c r="X20" s="199">
        <f>IF(X$2&lt;=$C$48,0,'Opex PVC'!$E$69*(1+$C$47)^(X$2-$C$48-1))+'Cashflow Phenol'!X15</f>
        <v>99.925309261224797</v>
      </c>
      <c r="Y20" s="199">
        <f>IF(Y$2&lt;=$C$48,0,'Opex PVC'!$E$69*(1+$C$47)^(Y$2-$C$48-1))+'Cashflow Phenol'!Y15</f>
        <v>104.42194817797991</v>
      </c>
      <c r="Z20" s="199">
        <f>IF(Z$2&lt;=$C$48,0,'Opex PVC'!$E$69*(1+$C$47)^(Z$2-$C$48-1))+'Cashflow Phenol'!Z15</f>
        <v>109.12093584598898</v>
      </c>
    </row>
    <row r="21" spans="1:26">
      <c r="A21" s="52"/>
      <c r="B21" s="17" t="s">
        <v>17</v>
      </c>
      <c r="C21" s="17"/>
      <c r="D21" s="17"/>
      <c r="E21" s="17"/>
      <c r="F21" s="17"/>
      <c r="G21" s="208">
        <f t="shared" si="3"/>
        <v>0.1172219543357159</v>
      </c>
      <c r="H21" s="199">
        <f>IF(H$2&lt;=$C$48,0,'Opex PVC'!$E$71*(1+$C$47)^(H$2-$C$48-1))+'Cashflow Phenol'!H16</f>
        <v>325.90499999999997</v>
      </c>
      <c r="I21" s="199">
        <f>IF(I$2&lt;=$C$48,0,'Opex PVC'!$E$71*(1+$C$47)^(I$2-$C$48-1))+'Cashflow Phenol'!I16</f>
        <v>360.15924999999993</v>
      </c>
      <c r="J21" s="899">
        <f>IF(J$2&lt;=$C$48,0,'Opex PVC'!$E$71*(1+$C$47)^(J$2-$C$48-1))+'Cashflow Phenol'!J16</f>
        <v>376.36641624999993</v>
      </c>
      <c r="K21" s="199">
        <f>IF(K$2&lt;=$C$48,0,'Opex PVC'!$E$71*(1+$C$47)^(K$2-$C$48-1))+'Cashflow Phenol'!K16</f>
        <v>393.30290498124987</v>
      </c>
      <c r="L21" s="199">
        <f>IF(L$2&lt;=$C$48,0,'Opex PVC'!$E$71*(1+$C$47)^(L$2-$C$48-1))+'Cashflow Phenol'!L16</f>
        <v>411.00153570540601</v>
      </c>
      <c r="M21" s="199">
        <f>IF(M$2&lt;=$C$48,0,'Opex PVC'!$E$71*(1+$C$47)^(M$2-$C$48-1))+'Cashflow Phenol'!M16</f>
        <v>429.49660481214931</v>
      </c>
      <c r="N21" s="199">
        <f>IF(N$2&lt;=$C$48,0,'Opex PVC'!$E$71*(1+$C$47)^(N$2-$C$48-1))+'Cashflow Phenol'!N16</f>
        <v>448.82395202869594</v>
      </c>
      <c r="O21" s="199">
        <f>IF(O$2&lt;=$C$48,0,'Opex PVC'!$E$71*(1+$C$47)^(O$2-$C$48-1))+'Cashflow Phenol'!O16</f>
        <v>469.02102986998727</v>
      </c>
      <c r="P21" s="199">
        <f>IF(P$2&lt;=$C$48,0,'Opex PVC'!$E$71*(1+$C$47)^(P$2-$C$48-1))+'Cashflow Phenol'!P16</f>
        <v>490.12697621413656</v>
      </c>
      <c r="Q21" s="199">
        <f>IF(Q$2&lt;=$C$48,0,'Opex PVC'!$E$71*(1+$C$47)^(Q$2-$C$48-1))+'Cashflow Phenol'!Q16</f>
        <v>512.18269014377267</v>
      </c>
      <c r="R21" s="199">
        <f>IF(R$2&lt;=$C$48,0,'Opex PVC'!$E$71*(1+$C$47)^(R$2-$C$48-1))+'Cashflow Phenol'!R16</f>
        <v>535.2309112002423</v>
      </c>
      <c r="S21" s="199">
        <f>IF(S$2&lt;=$C$48,0,'Opex PVC'!$E$71*(1+$C$47)^(S$2-$C$48-1))+'Cashflow Phenol'!S16</f>
        <v>559.31630220425325</v>
      </c>
      <c r="T21" s="199">
        <f>IF(T$2&lt;=$C$48,0,'Opex PVC'!$E$71*(1+$C$47)^(T$2-$C$48-1))+'Cashflow Phenol'!T16</f>
        <v>584.48553580344446</v>
      </c>
      <c r="U21" s="199">
        <f>IF(U$2&lt;=$C$48,0,'Opex PVC'!$E$71*(1+$C$47)^(U$2-$C$48-1))+'Cashflow Phenol'!U16</f>
        <v>610.78738491459956</v>
      </c>
      <c r="V21" s="199">
        <f>IF(V$2&lt;=$C$48,0,'Opex PVC'!$E$71*(1+$C$47)^(V$2-$C$48-1))+'Cashflow Phenol'!V16</f>
        <v>638.27281723575629</v>
      </c>
      <c r="W21" s="199">
        <f>IF(W$2&lt;=$C$48,0,'Opex PVC'!$E$71*(1+$C$47)^(W$2-$C$48-1))+'Cashflow Phenol'!W16</f>
        <v>666.9950940113655</v>
      </c>
      <c r="X21" s="199">
        <f>IF(X$2&lt;=$C$48,0,'Opex PVC'!$E$71*(1+$C$47)^(X$2-$C$48-1))+'Cashflow Phenol'!X16</f>
        <v>697.00987324187668</v>
      </c>
      <c r="Y21" s="199">
        <f>IF(Y$2&lt;=$C$48,0,'Opex PVC'!$E$71*(1+$C$47)^(Y$2-$C$48-1))+'Cashflow Phenol'!Y16</f>
        <v>728.37531753776113</v>
      </c>
      <c r="Z21" s="199">
        <f>IF(Z$2&lt;=$C$48,0,'Opex PVC'!$E$71*(1+$C$47)^(Z$2-$C$48-1))+'Cashflow Phenol'!Z16</f>
        <v>761.1522068269602</v>
      </c>
    </row>
    <row r="22" spans="1:26" s="167" customFormat="1">
      <c r="A22" s="52"/>
      <c r="B22" s="17" t="s">
        <v>20</v>
      </c>
      <c r="C22" s="17"/>
      <c r="D22" s="17"/>
      <c r="E22" s="17"/>
      <c r="F22" s="17"/>
      <c r="G22" s="208">
        <f t="shared" si="3"/>
        <v>3.3257117533449322E-2</v>
      </c>
      <c r="H22" s="199">
        <f>IF(H$2&lt;=$C$48,0,'Opex PVC'!$E$74*(1+$C$47)^(H$2-$C$48-1))+'Cashflow Phenol'!H17</f>
        <v>94.911727505903997</v>
      </c>
      <c r="I22" s="199">
        <f>IF(I$2&lt;=$C$48,0,'Opex PVC'!$E$74*(1+$C$47)^(I$2-$C$48-1))+'Cashflow Phenol'!I17</f>
        <v>102.18101699366967</v>
      </c>
      <c r="J22" s="899">
        <f>IF(J$2&lt;=$C$48,0,'Opex PVC'!$E$74*(1+$C$47)^(J$2-$C$48-1))+'Cashflow Phenol'!J17</f>
        <v>106.7791627583848</v>
      </c>
      <c r="K22" s="199">
        <f>IF(K$2&lt;=$C$48,0,'Opex PVC'!$E$74*(1+$C$47)^(K$2-$C$48-1))+'Cashflow Phenol'!K17</f>
        <v>111.58422508251212</v>
      </c>
      <c r="L22" s="199">
        <f>IF(L$2&lt;=$C$48,0,'Opex PVC'!$E$74*(1+$C$47)^(L$2-$C$48-1))+'Cashflow Phenol'!L17</f>
        <v>116.60551521122512</v>
      </c>
      <c r="M22" s="199">
        <f>IF(M$2&lt;=$C$48,0,'Opex PVC'!$E$74*(1+$C$47)^(M$2-$C$48-1))+'Cashflow Phenol'!M17</f>
        <v>121.85276339573025</v>
      </c>
      <c r="N22" s="199">
        <f>IF(N$2&lt;=$C$48,0,'Opex PVC'!$E$74*(1+$C$47)^(N$2-$C$48-1))+'Cashflow Phenol'!N17</f>
        <v>127.33613774853808</v>
      </c>
      <c r="O22" s="199">
        <f>IF(O$2&lt;=$C$48,0,'Opex PVC'!$E$74*(1+$C$47)^(O$2-$C$48-1))+'Cashflow Phenol'!O17</f>
        <v>133.0662639472223</v>
      </c>
      <c r="P22" s="199">
        <f>IF(P$2&lt;=$C$48,0,'Opex PVC'!$E$74*(1+$C$47)^(P$2-$C$48-1))+'Cashflow Phenol'!P17</f>
        <v>139.05424582484727</v>
      </c>
      <c r="Q22" s="199">
        <f>IF(Q$2&lt;=$C$48,0,'Opex PVC'!$E$74*(1+$C$47)^(Q$2-$C$48-1))+'Cashflow Phenol'!Q17</f>
        <v>145.31168688696539</v>
      </c>
      <c r="R22" s="199">
        <f>IF(R$2&lt;=$C$48,0,'Opex PVC'!$E$74*(1+$C$47)^(R$2-$C$48-1))+'Cashflow Phenol'!R17</f>
        <v>151.85071279687881</v>
      </c>
      <c r="S22" s="199">
        <f>IF(S$2&lt;=$C$48,0,'Opex PVC'!$E$74*(1+$C$47)^(S$2-$C$48-1))+'Cashflow Phenol'!S17</f>
        <v>158.68399487273837</v>
      </c>
      <c r="T22" s="199">
        <f>IF(T$2&lt;=$C$48,0,'Opex PVC'!$E$74*(1+$C$47)^(T$2-$C$48-1))+'Cashflow Phenol'!T17</f>
        <v>165.82477464201153</v>
      </c>
      <c r="U22" s="199">
        <f>IF(U$2&lt;=$C$48,0,'Opex PVC'!$E$74*(1+$C$47)^(U$2-$C$48-1))+'Cashflow Phenol'!U17</f>
        <v>173.28688950090208</v>
      </c>
      <c r="V22" s="199">
        <f>IF(V$2&lt;=$C$48,0,'Opex PVC'!$E$74*(1+$C$47)^(V$2-$C$48-1))+'Cashflow Phenol'!V17</f>
        <v>181.0847995284426</v>
      </c>
      <c r="W22" s="199">
        <f>IF(W$2&lt;=$C$48,0,'Opex PVC'!$E$74*(1+$C$47)^(W$2-$C$48-1))+'Cashflow Phenol'!W17</f>
        <v>189.23361550722254</v>
      </c>
      <c r="X22" s="199">
        <f>IF(X$2&lt;=$C$48,0,'Opex PVC'!$E$74*(1+$C$47)^(X$2-$C$48-1))+'Cashflow Phenol'!X17</f>
        <v>197.7491282050475</v>
      </c>
      <c r="Y22" s="199">
        <f>IF(Y$2&lt;=$C$48,0,'Opex PVC'!$E$74*(1+$C$47)^(Y$2-$C$48-1))+'Cashflow Phenol'!Y17</f>
        <v>206.64783897427463</v>
      </c>
      <c r="Z22" s="199">
        <f>IF(Z$2&lt;=$C$48,0,'Opex PVC'!$E$74*(1+$C$47)^(Z$2-$C$48-1))+'Cashflow Phenol'!Z17</f>
        <v>215.94699172811696</v>
      </c>
    </row>
    <row r="23" spans="1:26">
      <c r="A23" s="52"/>
      <c r="B23" s="17" t="s">
        <v>21</v>
      </c>
      <c r="C23" s="17"/>
      <c r="D23" s="17"/>
      <c r="E23" s="17"/>
      <c r="F23" s="17"/>
      <c r="G23" s="208">
        <f t="shared" si="3"/>
        <v>5.3507880699575308E-2</v>
      </c>
      <c r="H23" s="199">
        <f>IF(H$2&lt;=$C$48,0,'Opex PVC'!$E$77*(1+$C$47)^(H$2-$C$48-1))+'Cashflow Phenol'!H18</f>
        <v>149.84313653636434</v>
      </c>
      <c r="I23" s="199">
        <f>IF(I$2&lt;=$C$48,0,'Opex PVC'!$E$77*(1+$C$47)^(I$2-$C$48-1))+'Cashflow Phenol'!I18</f>
        <v>164.40058768050073</v>
      </c>
      <c r="J23" s="899">
        <f>IF(J$2&lt;=$C$48,0,'Opex PVC'!$E$77*(1+$C$47)^(J$2-$C$48-1))+'Cashflow Phenol'!J18</f>
        <v>171.79861412612325</v>
      </c>
      <c r="K23" s="199">
        <f>IF(K$2&lt;=$C$48,0,'Opex PVC'!$E$77*(1+$C$47)^(K$2-$C$48-1))+'Cashflow Phenol'!K18</f>
        <v>179.52955176179879</v>
      </c>
      <c r="L23" s="199">
        <f>IF(L$2&lt;=$C$48,0,'Opex PVC'!$E$77*(1+$C$47)^(L$2-$C$48-1))+'Cashflow Phenol'!L18</f>
        <v>187.60838159107971</v>
      </c>
      <c r="M23" s="199">
        <f>IF(M$2&lt;=$C$48,0,'Opex PVC'!$E$77*(1+$C$47)^(M$2-$C$48-1))+'Cashflow Phenol'!M18</f>
        <v>196.05075876267827</v>
      </c>
      <c r="N23" s="199">
        <f>IF(N$2&lt;=$C$48,0,'Opex PVC'!$E$77*(1+$C$47)^(N$2-$C$48-1))+'Cashflow Phenol'!N18</f>
        <v>204.87304290699876</v>
      </c>
      <c r="O23" s="199">
        <f>IF(O$2&lt;=$C$48,0,'Opex PVC'!$E$77*(1+$C$47)^(O$2-$C$48-1))+'Cashflow Phenol'!O18</f>
        <v>214.09232983781371</v>
      </c>
      <c r="P23" s="199">
        <f>IF(P$2&lt;=$C$48,0,'Opex PVC'!$E$77*(1+$C$47)^(P$2-$C$48-1))+'Cashflow Phenol'!P18</f>
        <v>223.72648468051526</v>
      </c>
      <c r="Q23" s="199">
        <f>IF(Q$2&lt;=$C$48,0,'Opex PVC'!$E$77*(1+$C$47)^(Q$2-$C$48-1))+'Cashflow Phenol'!Q18</f>
        <v>233.79417649113844</v>
      </c>
      <c r="R23" s="199">
        <f>IF(R$2&lt;=$C$48,0,'Opex PVC'!$E$77*(1+$C$47)^(R$2-$C$48-1))+'Cashflow Phenol'!R18</f>
        <v>244.31491443323961</v>
      </c>
      <c r="S23" s="199">
        <f>IF(S$2&lt;=$C$48,0,'Opex PVC'!$E$77*(1+$C$47)^(S$2-$C$48-1))+'Cashflow Phenol'!S18</f>
        <v>255.30908558273541</v>
      </c>
      <c r="T23" s="199">
        <f>IF(T$2&lt;=$C$48,0,'Opex PVC'!$E$77*(1+$C$47)^(T$2-$C$48-1))+'Cashflow Phenol'!T18</f>
        <v>266.79799443395842</v>
      </c>
      <c r="U23" s="199">
        <f>IF(U$2&lt;=$C$48,0,'Opex PVC'!$E$77*(1+$C$47)^(U$2-$C$48-1))+'Cashflow Phenol'!U18</f>
        <v>278.80390418348657</v>
      </c>
      <c r="V23" s="199">
        <f>IF(V$2&lt;=$C$48,0,'Opex PVC'!$E$77*(1+$C$47)^(V$2-$C$48-1))+'Cashflow Phenol'!V18</f>
        <v>291.35007987174339</v>
      </c>
      <c r="W23" s="199">
        <f>IF(W$2&lt;=$C$48,0,'Opex PVC'!$E$77*(1+$C$47)^(W$2-$C$48-1))+'Cashflow Phenol'!W18</f>
        <v>304.46083346597186</v>
      </c>
      <c r="X23" s="199">
        <f>IF(X$2&lt;=$C$48,0,'Opex PVC'!$E$77*(1+$C$47)^(X$2-$C$48-1))+'Cashflow Phenol'!X18</f>
        <v>318.16157097194048</v>
      </c>
      <c r="Y23" s="199">
        <f>IF(Y$2&lt;=$C$48,0,'Opex PVC'!$E$77*(1+$C$47)^(Y$2-$C$48-1))+'Cashflow Phenol'!Y18</f>
        <v>332.47884166567781</v>
      </c>
      <c r="Z23" s="199">
        <f>IF(Z$2&lt;=$C$48,0,'Opex PVC'!$E$77*(1+$C$47)^(Z$2-$C$48-1))+'Cashflow Phenol'!Z18</f>
        <v>347.44038954063325</v>
      </c>
    </row>
    <row r="24" spans="1:26" s="167" customFormat="1">
      <c r="A24" s="187"/>
      <c r="B24" s="209" t="s">
        <v>30</v>
      </c>
      <c r="C24" s="209"/>
      <c r="D24" s="209"/>
      <c r="E24" s="209"/>
      <c r="F24" s="209"/>
      <c r="G24" s="210"/>
      <c r="H24" s="192">
        <f t="shared" ref="H24:Q24" si="4">SUM(H18:H23)</f>
        <v>2450.9623805129163</v>
      </c>
      <c r="I24" s="192">
        <f t="shared" si="4"/>
        <v>2946.6129095194378</v>
      </c>
      <c r="J24" s="900">
        <f t="shared" si="4"/>
        <v>3210.7161016281257</v>
      </c>
      <c r="K24" s="192">
        <f t="shared" si="4"/>
        <v>3389.3303321565791</v>
      </c>
      <c r="L24" s="192">
        <f t="shared" si="4"/>
        <v>3575.4881864158701</v>
      </c>
      <c r="M24" s="192">
        <f t="shared" si="4"/>
        <v>3773.1553244159036</v>
      </c>
      <c r="N24" s="192">
        <f t="shared" si="4"/>
        <v>3981.5395237768048</v>
      </c>
      <c r="O24" s="192">
        <f t="shared" si="4"/>
        <v>4201.9881932772587</v>
      </c>
      <c r="P24" s="192">
        <f t="shared" si="4"/>
        <v>4436.5352884243102</v>
      </c>
      <c r="Q24" s="192">
        <f t="shared" si="4"/>
        <v>4678.5371113846586</v>
      </c>
      <c r="R24" s="192">
        <f t="shared" ref="R24:Z24" si="5">SUM(R18:R23)</f>
        <v>4934.9092839356781</v>
      </c>
      <c r="S24" s="192">
        <f t="shared" si="5"/>
        <v>5205.8681338587739</v>
      </c>
      <c r="T24" s="192">
        <f t="shared" si="5"/>
        <v>5490.3489038546113</v>
      </c>
      <c r="U24" s="192">
        <f t="shared" si="5"/>
        <v>5790.188835629885</v>
      </c>
      <c r="V24" s="192">
        <f t="shared" si="5"/>
        <v>6106.3699512985913</v>
      </c>
      <c r="W24" s="192">
        <f t="shared" si="5"/>
        <v>6442.219239364842</v>
      </c>
      <c r="X24" s="192">
        <f t="shared" si="5"/>
        <v>6797.2435152731723</v>
      </c>
      <c r="Y24" s="192">
        <f t="shared" si="5"/>
        <v>7173.3563696136116</v>
      </c>
      <c r="Z24" s="192">
        <f t="shared" si="5"/>
        <v>7568.394634190322</v>
      </c>
    </row>
    <row r="25" spans="1:26" s="906" customFormat="1">
      <c r="A25" s="901"/>
      <c r="B25" s="902" t="s">
        <v>11</v>
      </c>
      <c r="C25" s="902"/>
      <c r="D25" s="902"/>
      <c r="E25" s="902"/>
      <c r="F25" s="902"/>
      <c r="G25" s="903"/>
      <c r="H25" s="904"/>
      <c r="I25" s="904"/>
      <c r="J25" s="904">
        <f>J24-J23</f>
        <v>3038.9174875020026</v>
      </c>
      <c r="K25" s="904"/>
      <c r="L25" s="904"/>
      <c r="M25" s="904"/>
      <c r="N25" s="904"/>
      <c r="O25" s="904"/>
      <c r="P25" s="904"/>
      <c r="Q25" s="904"/>
      <c r="R25" s="905"/>
      <c r="S25" s="905"/>
      <c r="T25" s="905"/>
      <c r="U25" s="905"/>
      <c r="V25" s="905"/>
      <c r="W25" s="905"/>
      <c r="X25" s="905"/>
      <c r="Y25" s="905"/>
      <c r="Z25" s="905"/>
    </row>
    <row r="26" spans="1:26">
      <c r="A26" s="203">
        <v>4</v>
      </c>
      <c r="B26" s="204" t="s">
        <v>396</v>
      </c>
      <c r="C26" s="204"/>
      <c r="D26" s="204"/>
      <c r="E26" s="204"/>
      <c r="F26" s="204"/>
      <c r="G26" s="205"/>
      <c r="H26" s="206">
        <f t="shared" ref="H26:Z26" si="6">H11-H24</f>
        <v>2010.129558580335</v>
      </c>
      <c r="I26" s="206">
        <f t="shared" si="6"/>
        <v>2735.3195719420087</v>
      </c>
      <c r="J26" s="206">
        <f t="shared" si="6"/>
        <v>3175.1765385435824</v>
      </c>
      <c r="K26" s="206">
        <f t="shared" si="6"/>
        <v>3354.1817974736068</v>
      </c>
      <c r="L26" s="206">
        <f t="shared" si="6"/>
        <v>3545.8032545104129</v>
      </c>
      <c r="M26" s="206">
        <f t="shared" si="6"/>
        <v>3747.217889620028</v>
      </c>
      <c r="N26" s="206">
        <f t="shared" si="6"/>
        <v>3960.4256157621026</v>
      </c>
      <c r="O26" s="206">
        <f t="shared" si="6"/>
        <v>4185.355481921415</v>
      </c>
      <c r="P26" s="206">
        <f t="shared" si="6"/>
        <v>4421.3226870691988</v>
      </c>
      <c r="Q26" s="206">
        <f t="shared" si="6"/>
        <v>4676.3969349439221</v>
      </c>
      <c r="R26" s="206">
        <f t="shared" si="6"/>
        <v>4945.1698539264435</v>
      </c>
      <c r="S26" s="206">
        <f t="shared" si="6"/>
        <v>5229.018255264371</v>
      </c>
      <c r="T26" s="206">
        <f t="shared" si="6"/>
        <v>5530.6908350304884</v>
      </c>
      <c r="U26" s="206">
        <f t="shared" si="6"/>
        <v>5850.1302824624081</v>
      </c>
      <c r="V26" s="206">
        <f t="shared" si="6"/>
        <v>6188.2359887176281</v>
      </c>
      <c r="W26" s="206">
        <f t="shared" si="6"/>
        <v>6543.6696658853471</v>
      </c>
      <c r="X26" s="206">
        <f t="shared" si="6"/>
        <v>6919.0266243619753</v>
      </c>
      <c r="Y26" s="206">
        <f t="shared" si="6"/>
        <v>7314.6153146378001</v>
      </c>
      <c r="Z26" s="206">
        <f t="shared" si="6"/>
        <v>7734.9477235220211</v>
      </c>
    </row>
    <row r="27" spans="1:26">
      <c r="A27" s="194"/>
      <c r="B27" s="195" t="s">
        <v>32</v>
      </c>
      <c r="C27" s="182">
        <f t="shared" ref="C27:E27" si="7">-C10</f>
        <v>-414.91</v>
      </c>
      <c r="D27" s="182">
        <f t="shared" si="7"/>
        <v>-2074.5299999999997</v>
      </c>
      <c r="E27" s="182">
        <f t="shared" si="7"/>
        <v>-2904.34</v>
      </c>
      <c r="F27" s="182">
        <f>-F10</f>
        <v>-2904.34</v>
      </c>
      <c r="G27" s="196"/>
      <c r="H27" s="197">
        <f>H26+SUM(C27:F27)</f>
        <v>-6287.9904414196644</v>
      </c>
      <c r="I27" s="197">
        <f t="shared" ref="I27:Z27" si="8">I26</f>
        <v>2735.3195719420087</v>
      </c>
      <c r="J27" s="197">
        <f t="shared" si="8"/>
        <v>3175.1765385435824</v>
      </c>
      <c r="K27" s="197">
        <f t="shared" si="8"/>
        <v>3354.1817974736068</v>
      </c>
      <c r="L27" s="197">
        <f t="shared" si="8"/>
        <v>3545.8032545104129</v>
      </c>
      <c r="M27" s="197">
        <f t="shared" si="8"/>
        <v>3747.217889620028</v>
      </c>
      <c r="N27" s="197">
        <f t="shared" si="8"/>
        <v>3960.4256157621026</v>
      </c>
      <c r="O27" s="197">
        <f t="shared" si="8"/>
        <v>4185.355481921415</v>
      </c>
      <c r="P27" s="197">
        <f t="shared" si="8"/>
        <v>4421.3226870691988</v>
      </c>
      <c r="Q27" s="197">
        <f t="shared" si="8"/>
        <v>4676.3969349439221</v>
      </c>
      <c r="R27" s="197">
        <f t="shared" si="8"/>
        <v>4945.1698539264435</v>
      </c>
      <c r="S27" s="197">
        <f t="shared" si="8"/>
        <v>5229.018255264371</v>
      </c>
      <c r="T27" s="197">
        <f t="shared" si="8"/>
        <v>5530.6908350304884</v>
      </c>
      <c r="U27" s="197">
        <f t="shared" si="8"/>
        <v>5850.1302824624081</v>
      </c>
      <c r="V27" s="197">
        <f t="shared" si="8"/>
        <v>6188.2359887176281</v>
      </c>
      <c r="W27" s="197">
        <f t="shared" si="8"/>
        <v>6543.6696658853471</v>
      </c>
      <c r="X27" s="197">
        <f t="shared" si="8"/>
        <v>6919.0266243619753</v>
      </c>
      <c r="Y27" s="197">
        <f t="shared" si="8"/>
        <v>7314.6153146378001</v>
      </c>
      <c r="Z27" s="197">
        <f t="shared" si="8"/>
        <v>7734.9477235220211</v>
      </c>
    </row>
    <row r="28" spans="1:26">
      <c r="A28" s="52"/>
      <c r="B28" s="558" t="s">
        <v>597</v>
      </c>
      <c r="C28" s="17"/>
      <c r="D28" s="17"/>
      <c r="E28" s="17"/>
      <c r="F28" s="17"/>
      <c r="G28" s="201"/>
      <c r="H28" s="262">
        <f>H26/H11</f>
        <v>0.4505913767356492</v>
      </c>
      <c r="I28" s="262">
        <f t="shared" ref="I28:Z28" si="9">I26/I11</f>
        <v>0.48140656033252593</v>
      </c>
      <c r="J28" s="262">
        <f t="shared" si="9"/>
        <v>0.49721733788155359</v>
      </c>
      <c r="K28" s="262">
        <f t="shared" si="9"/>
        <v>0.4973938999435818</v>
      </c>
      <c r="L28" s="262">
        <f t="shared" si="9"/>
        <v>0.49791576203897114</v>
      </c>
      <c r="M28" s="262">
        <f t="shared" si="9"/>
        <v>0.49827552210125248</v>
      </c>
      <c r="N28" s="262">
        <f t="shared" si="9"/>
        <v>0.49867073780583682</v>
      </c>
      <c r="O28" s="262">
        <f t="shared" si="9"/>
        <v>0.4990084637043653</v>
      </c>
      <c r="P28" s="262">
        <f t="shared" si="9"/>
        <v>0.49914129344830321</v>
      </c>
      <c r="Q28" s="262">
        <f t="shared" si="9"/>
        <v>0.499885612424944</v>
      </c>
      <c r="R28" s="262">
        <f t="shared" si="9"/>
        <v>0.50051925545573039</v>
      </c>
      <c r="S28" s="262">
        <f t="shared" si="9"/>
        <v>0.50110926561834579</v>
      </c>
      <c r="T28" s="262">
        <f t="shared" si="9"/>
        <v>0.50183022346945816</v>
      </c>
      <c r="U28" s="262">
        <f t="shared" si="9"/>
        <v>0.50257473382921936</v>
      </c>
      <c r="V28" s="262">
        <f t="shared" si="9"/>
        <v>0.50332934775699401</v>
      </c>
      <c r="W28" s="262">
        <f t="shared" si="9"/>
        <v>0.50390617951765659</v>
      </c>
      <c r="X28" s="262">
        <f t="shared" si="9"/>
        <v>0.50443936681944213</v>
      </c>
      <c r="Y28" s="262">
        <f t="shared" si="9"/>
        <v>0.50487504214194934</v>
      </c>
      <c r="Z28" s="262">
        <f t="shared" si="9"/>
        <v>0.50544172264589515</v>
      </c>
    </row>
    <row r="29" spans="1:26">
      <c r="A29" s="52"/>
      <c r="B29" s="17" t="s">
        <v>33</v>
      </c>
      <c r="C29" s="17"/>
      <c r="D29" s="17"/>
      <c r="E29" s="17"/>
      <c r="F29" s="17"/>
      <c r="G29" s="201">
        <v>1</v>
      </c>
      <c r="H29" s="199">
        <f>G29/(1+0.1)</f>
        <v>0.90909090909090906</v>
      </c>
      <c r="I29" s="199">
        <f>H29/(1+0.1)</f>
        <v>0.82644628099173545</v>
      </c>
      <c r="J29" s="199">
        <f t="shared" ref="J29:Z29" si="10">I29/(1+0.1)</f>
        <v>0.75131480090157765</v>
      </c>
      <c r="K29" s="199">
        <f t="shared" si="10"/>
        <v>0.68301345536507052</v>
      </c>
      <c r="L29" s="199">
        <f t="shared" si="10"/>
        <v>0.62092132305915493</v>
      </c>
      <c r="M29" s="199">
        <f t="shared" si="10"/>
        <v>0.56447393005377711</v>
      </c>
      <c r="N29" s="199">
        <f t="shared" si="10"/>
        <v>0.51315811823070645</v>
      </c>
      <c r="O29" s="199">
        <f t="shared" si="10"/>
        <v>0.46650738020973309</v>
      </c>
      <c r="P29" s="199">
        <f t="shared" si="10"/>
        <v>0.42409761837248461</v>
      </c>
      <c r="Q29" s="199">
        <f t="shared" si="10"/>
        <v>0.38554328942953142</v>
      </c>
      <c r="R29" s="199">
        <f t="shared" si="10"/>
        <v>0.35049389948139215</v>
      </c>
      <c r="S29" s="199">
        <f t="shared" si="10"/>
        <v>0.31863081771035645</v>
      </c>
      <c r="T29" s="199">
        <f t="shared" si="10"/>
        <v>0.28966437973668768</v>
      </c>
      <c r="U29" s="199">
        <f t="shared" si="10"/>
        <v>0.26333125430607968</v>
      </c>
      <c r="V29" s="199">
        <f t="shared" si="10"/>
        <v>0.23939204936916333</v>
      </c>
      <c r="W29" s="199">
        <f t="shared" si="10"/>
        <v>0.21762913579014848</v>
      </c>
      <c r="X29" s="199">
        <f t="shared" si="10"/>
        <v>0.19784466890013497</v>
      </c>
      <c r="Y29" s="199">
        <f t="shared" si="10"/>
        <v>0.17985878990921358</v>
      </c>
      <c r="Z29" s="199">
        <f t="shared" si="10"/>
        <v>0.16350799082655779</v>
      </c>
    </row>
    <row r="30" spans="1:26" hidden="1">
      <c r="A30" s="52"/>
      <c r="B30" s="17" t="s">
        <v>34</v>
      </c>
      <c r="C30" s="182"/>
      <c r="D30" s="182"/>
      <c r="E30" s="182"/>
      <c r="F30" s="182"/>
      <c r="G30" s="211"/>
      <c r="H30" s="202">
        <f>H27*H29</f>
        <v>-5716.3549467451494</v>
      </c>
      <c r="I30" s="202">
        <f t="shared" ref="I30:Z30" si="11">I27*I29</f>
        <v>2260.5946875553786</v>
      </c>
      <c r="J30" s="202">
        <f t="shared" si="11"/>
        <v>2385.5571288832321</v>
      </c>
      <c r="K30" s="202">
        <f t="shared" si="11"/>
        <v>2290.9512994150714</v>
      </c>
      <c r="L30" s="202">
        <f t="shared" si="11"/>
        <v>2201.664848098063</v>
      </c>
      <c r="M30" s="202">
        <f t="shared" si="11"/>
        <v>2115.2068089216377</v>
      </c>
      <c r="N30" s="202">
        <f t="shared" si="11"/>
        <v>2032.3245563771675</v>
      </c>
      <c r="O30" s="202">
        <f t="shared" si="11"/>
        <v>1952.4992211176043</v>
      </c>
      <c r="P30" s="202">
        <f t="shared" si="11"/>
        <v>1875.0724216422811</v>
      </c>
      <c r="Q30" s="202">
        <f t="shared" si="11"/>
        <v>1802.9534569764583</v>
      </c>
      <c r="R30" s="202">
        <f t="shared" si="11"/>
        <v>1733.2518657005055</v>
      </c>
      <c r="S30" s="202">
        <f t="shared" si="11"/>
        <v>1666.126362497268</v>
      </c>
      <c r="T30" s="202">
        <f t="shared" si="11"/>
        <v>1602.0441302444897</v>
      </c>
      <c r="U30" s="202">
        <f t="shared" si="11"/>
        <v>1540.5221451348061</v>
      </c>
      <c r="V30" s="202">
        <f t="shared" si="11"/>
        <v>1481.4144953191237</v>
      </c>
      <c r="W30" s="202">
        <f t="shared" si="11"/>
        <v>1424.0931742828377</v>
      </c>
      <c r="X30" s="202">
        <f t="shared" si="11"/>
        <v>1368.8925316081136</v>
      </c>
      <c r="Y30" s="202">
        <f t="shared" si="11"/>
        <v>1315.5978591421563</v>
      </c>
      <c r="Z30" s="202">
        <f t="shared" si="11"/>
        <v>1264.7257614215428</v>
      </c>
    </row>
    <row r="31" spans="1:26" hidden="1">
      <c r="A31" s="52"/>
      <c r="B31" s="17" t="s">
        <v>35</v>
      </c>
      <c r="C31" s="17"/>
      <c r="D31" s="17"/>
      <c r="E31" s="17"/>
      <c r="F31" s="17"/>
      <c r="G31" s="211"/>
      <c r="H31" s="202">
        <f>H27</f>
        <v>-6287.9904414196644</v>
      </c>
      <c r="I31" s="202">
        <f t="shared" ref="I31:Z31" si="12">I27</f>
        <v>2735.3195719420087</v>
      </c>
      <c r="J31" s="202">
        <f t="shared" si="12"/>
        <v>3175.1765385435824</v>
      </c>
      <c r="K31" s="202">
        <f t="shared" si="12"/>
        <v>3354.1817974736068</v>
      </c>
      <c r="L31" s="202">
        <f t="shared" si="12"/>
        <v>3545.8032545104129</v>
      </c>
      <c r="M31" s="202">
        <f t="shared" si="12"/>
        <v>3747.217889620028</v>
      </c>
      <c r="N31" s="202">
        <f t="shared" si="12"/>
        <v>3960.4256157621026</v>
      </c>
      <c r="O31" s="202">
        <f t="shared" si="12"/>
        <v>4185.355481921415</v>
      </c>
      <c r="P31" s="202">
        <f t="shared" si="12"/>
        <v>4421.3226870691988</v>
      </c>
      <c r="Q31" s="202">
        <f t="shared" si="12"/>
        <v>4676.3969349439221</v>
      </c>
      <c r="R31" s="202">
        <f t="shared" si="12"/>
        <v>4945.1698539264435</v>
      </c>
      <c r="S31" s="202">
        <f t="shared" si="12"/>
        <v>5229.018255264371</v>
      </c>
      <c r="T31" s="202">
        <f t="shared" si="12"/>
        <v>5530.6908350304884</v>
      </c>
      <c r="U31" s="202">
        <f t="shared" si="12"/>
        <v>5850.1302824624081</v>
      </c>
      <c r="V31" s="202">
        <f t="shared" si="12"/>
        <v>6188.2359887176281</v>
      </c>
      <c r="W31" s="202">
        <f t="shared" si="12"/>
        <v>6543.6696658853471</v>
      </c>
      <c r="X31" s="202">
        <f t="shared" si="12"/>
        <v>6919.0266243619753</v>
      </c>
      <c r="Y31" s="202">
        <f t="shared" si="12"/>
        <v>7314.6153146378001</v>
      </c>
      <c r="Z31" s="202">
        <f t="shared" si="12"/>
        <v>7734.9477235220211</v>
      </c>
    </row>
    <row r="32" spans="1:26" hidden="1">
      <c r="A32" s="53"/>
      <c r="B32" s="55" t="s">
        <v>448</v>
      </c>
      <c r="C32" s="55"/>
      <c r="D32" s="55"/>
      <c r="E32" s="55"/>
      <c r="F32" s="55"/>
      <c r="G32" s="212"/>
      <c r="H32" s="213">
        <f>H27</f>
        <v>-6287.9904414196644</v>
      </c>
      <c r="I32" s="213">
        <f>H32+I27</f>
        <v>-3552.6708694776557</v>
      </c>
      <c r="J32" s="213">
        <f t="shared" ref="J32:Z32" si="13">I32+J27</f>
        <v>-377.49433093407333</v>
      </c>
      <c r="K32" s="213">
        <f t="shared" si="13"/>
        <v>2976.6874665395335</v>
      </c>
      <c r="L32" s="213">
        <f t="shared" si="13"/>
        <v>6522.4907210499459</v>
      </c>
      <c r="M32" s="213">
        <f t="shared" si="13"/>
        <v>10269.708610669973</v>
      </c>
      <c r="N32" s="213">
        <f t="shared" si="13"/>
        <v>14230.134226432076</v>
      </c>
      <c r="O32" s="213">
        <f t="shared" si="13"/>
        <v>18415.489708353489</v>
      </c>
      <c r="P32" s="213">
        <f t="shared" si="13"/>
        <v>22836.812395422687</v>
      </c>
      <c r="Q32" s="213">
        <f t="shared" si="13"/>
        <v>27513.209330366608</v>
      </c>
      <c r="R32" s="213">
        <f t="shared" si="13"/>
        <v>32458.379184293051</v>
      </c>
      <c r="S32" s="213">
        <f t="shared" si="13"/>
        <v>37687.397439557419</v>
      </c>
      <c r="T32" s="213">
        <f t="shared" si="13"/>
        <v>43218.088274587906</v>
      </c>
      <c r="U32" s="213">
        <f t="shared" si="13"/>
        <v>49068.218557050313</v>
      </c>
      <c r="V32" s="213">
        <f t="shared" si="13"/>
        <v>55256.454545767941</v>
      </c>
      <c r="W32" s="213">
        <f t="shared" si="13"/>
        <v>61800.124211653289</v>
      </c>
      <c r="X32" s="213">
        <f t="shared" si="13"/>
        <v>68719.150836015266</v>
      </c>
      <c r="Y32" s="213">
        <f t="shared" si="13"/>
        <v>76033.766150653071</v>
      </c>
      <c r="Z32" s="213">
        <f t="shared" si="13"/>
        <v>83768.713874175097</v>
      </c>
    </row>
    <row r="33" spans="1:27">
      <c r="A33" s="52"/>
      <c r="B33" s="17"/>
      <c r="C33" s="17"/>
      <c r="D33" s="17"/>
      <c r="E33" s="17"/>
      <c r="F33" s="17"/>
      <c r="G33" s="201"/>
      <c r="H33" s="202"/>
      <c r="I33" s="202"/>
      <c r="J33" s="202"/>
      <c r="K33" s="202"/>
      <c r="L33" s="202"/>
      <c r="M33" s="202"/>
      <c r="N33" s="202"/>
      <c r="O33" s="202"/>
      <c r="P33" s="202"/>
      <c r="Q33" s="202"/>
      <c r="R33" s="202"/>
      <c r="S33" s="202"/>
      <c r="T33" s="202"/>
      <c r="U33" s="202"/>
      <c r="V33" s="202"/>
      <c r="W33" s="202"/>
      <c r="X33" s="202"/>
      <c r="Y33" s="202"/>
      <c r="Z33" s="202"/>
    </row>
    <row r="34" spans="1:27">
      <c r="A34" s="52"/>
      <c r="B34" s="17"/>
      <c r="C34" s="17"/>
      <c r="D34" s="17"/>
      <c r="E34" s="17"/>
      <c r="F34" s="17"/>
      <c r="G34" s="201"/>
      <c r="H34" s="202"/>
      <c r="I34" s="202"/>
      <c r="J34" s="202"/>
      <c r="K34" s="202"/>
      <c r="L34" s="202"/>
      <c r="M34" s="202"/>
      <c r="N34" s="202"/>
      <c r="O34" s="202"/>
      <c r="P34" s="202"/>
      <c r="Q34" s="202"/>
      <c r="R34" s="202"/>
      <c r="S34" s="202"/>
      <c r="T34" s="202"/>
      <c r="U34" s="202"/>
      <c r="V34" s="202"/>
      <c r="W34" s="202"/>
      <c r="X34" s="202"/>
      <c r="Y34" s="202"/>
      <c r="Z34" s="202"/>
    </row>
    <row r="35" spans="1:27">
      <c r="A35" s="52"/>
      <c r="B35" s="214" t="s">
        <v>36</v>
      </c>
      <c r="C35" s="215"/>
      <c r="D35" s="215"/>
      <c r="E35" s="215"/>
      <c r="F35" s="215"/>
      <c r="G35" s="298">
        <f>NPV(0%,(H30:Z30))</f>
        <v>26597.137807592586</v>
      </c>
      <c r="H35" s="216"/>
      <c r="I35" s="199"/>
      <c r="J35" s="199"/>
      <c r="K35" s="199"/>
      <c r="L35" s="199"/>
      <c r="M35" s="199"/>
      <c r="N35" s="199"/>
      <c r="O35" s="199"/>
      <c r="P35" s="199"/>
      <c r="Q35" s="199"/>
      <c r="R35" s="199"/>
      <c r="S35" s="199"/>
      <c r="T35" s="199"/>
      <c r="U35" s="199"/>
      <c r="V35" s="199"/>
      <c r="W35" s="199"/>
      <c r="X35" s="199"/>
      <c r="Y35" s="199"/>
      <c r="Z35" s="199"/>
    </row>
    <row r="36" spans="1:27">
      <c r="A36" s="52"/>
      <c r="B36" s="217" t="s">
        <v>37</v>
      </c>
      <c r="C36" s="218"/>
      <c r="D36" s="218"/>
      <c r="E36" s="218"/>
      <c r="F36" s="218"/>
      <c r="G36" s="300">
        <f>IRR(C27:Z27,0.1)</f>
        <v>0.20199479609618587</v>
      </c>
      <c r="H36" s="219"/>
      <c r="I36" s="199"/>
      <c r="J36" s="199"/>
      <c r="K36" s="199"/>
      <c r="L36" s="199"/>
      <c r="M36" s="199"/>
      <c r="N36" s="199"/>
      <c r="O36" s="199"/>
      <c r="P36" s="199"/>
      <c r="Q36" s="199"/>
      <c r="R36" s="199"/>
      <c r="S36" s="199"/>
      <c r="T36" s="199"/>
      <c r="U36" s="199"/>
      <c r="V36" s="199"/>
      <c r="W36" s="199"/>
      <c r="X36" s="199"/>
      <c r="Y36" s="199"/>
      <c r="Z36" s="199"/>
    </row>
    <row r="37" spans="1:27">
      <c r="A37" s="52"/>
      <c r="B37" s="220" t="s">
        <v>400</v>
      </c>
      <c r="C37" s="221"/>
      <c r="D37" s="221"/>
      <c r="E37" s="221"/>
      <c r="F37" s="221"/>
      <c r="G37" s="299">
        <f>IF(SUM(H42:Z42)&lt;=25,SUM(H42:Z42)," N/A ")</f>
        <v>3.1125443860014994</v>
      </c>
      <c r="H37" s="222"/>
      <c r="I37" s="199"/>
      <c r="J37" s="199"/>
      <c r="K37" s="199"/>
      <c r="L37" s="199"/>
      <c r="M37" s="199"/>
      <c r="N37" s="199"/>
      <c r="O37" s="199"/>
      <c r="P37" s="199"/>
      <c r="Q37" s="199"/>
      <c r="R37" s="199"/>
      <c r="S37" s="199"/>
      <c r="T37" s="199"/>
      <c r="U37" s="199"/>
      <c r="V37" s="199"/>
      <c r="W37" s="199"/>
      <c r="X37" s="199"/>
      <c r="Y37" s="199"/>
      <c r="Z37" s="199"/>
    </row>
    <row r="38" spans="1:27" ht="16.5" customHeight="1">
      <c r="A38" s="52"/>
      <c r="B38" s="307" t="s">
        <v>401</v>
      </c>
      <c r="C38" s="308"/>
      <c r="D38" s="308"/>
      <c r="E38" s="308"/>
      <c r="F38" s="308"/>
      <c r="G38" s="309">
        <f>IF(SUM(H43:Z43)&lt;=25,SUM(H43:Z43)," N/A ")</f>
        <v>3.1647762355447955</v>
      </c>
      <c r="H38" s="310"/>
      <c r="I38" s="199"/>
      <c r="J38" s="199"/>
      <c r="K38" s="199"/>
      <c r="L38" s="199"/>
      <c r="M38" s="199"/>
      <c r="N38" s="199"/>
      <c r="O38" s="199"/>
      <c r="P38" s="199"/>
      <c r="Q38" s="199"/>
      <c r="R38" s="199"/>
      <c r="S38" s="199"/>
      <c r="T38" s="199"/>
      <c r="U38" s="199"/>
      <c r="V38" s="199"/>
      <c r="W38" s="199"/>
      <c r="X38" s="199"/>
      <c r="Y38" s="199"/>
      <c r="Z38" s="199"/>
    </row>
    <row r="39" spans="1:27" ht="19.5" customHeight="1">
      <c r="A39" s="286"/>
      <c r="H39" s="223">
        <v>1</v>
      </c>
      <c r="I39" s="301">
        <v>2</v>
      </c>
      <c r="J39" s="301">
        <v>3</v>
      </c>
      <c r="K39" s="301">
        <v>4</v>
      </c>
      <c r="L39" s="301">
        <v>5</v>
      </c>
      <c r="M39" s="301">
        <v>6</v>
      </c>
      <c r="N39" s="301">
        <v>7</v>
      </c>
      <c r="O39" s="301">
        <v>8</v>
      </c>
      <c r="P39" s="301">
        <v>9</v>
      </c>
      <c r="Q39" s="301">
        <v>10</v>
      </c>
      <c r="R39" s="301">
        <v>11</v>
      </c>
      <c r="S39" s="301">
        <v>12</v>
      </c>
      <c r="T39" s="301">
        <v>13</v>
      </c>
      <c r="U39" s="301">
        <v>14</v>
      </c>
      <c r="V39" s="301">
        <v>15</v>
      </c>
      <c r="W39" s="301">
        <v>16</v>
      </c>
      <c r="X39" s="301">
        <v>17</v>
      </c>
      <c r="Y39" s="301">
        <v>18</v>
      </c>
      <c r="Z39" s="302">
        <v>19</v>
      </c>
    </row>
    <row r="40" spans="1:27" ht="14.25" customHeight="1">
      <c r="A40" s="2"/>
      <c r="B40" s="303" t="s">
        <v>402</v>
      </c>
      <c r="H40" s="223">
        <f>IF(H32&lt;0,1,IF(H31=0,0,-G32/H31))</f>
        <v>1</v>
      </c>
      <c r="I40" s="223">
        <f t="shared" ref="I40:Z40" si="14">IF(I32&lt;0,1,IF(I31=0,0,-H32/I31))</f>
        <v>1</v>
      </c>
      <c r="J40" s="223">
        <f t="shared" si="14"/>
        <v>1</v>
      </c>
      <c r="K40" s="223">
        <f t="shared" si="14"/>
        <v>0.11254438600149959</v>
      </c>
      <c r="L40" s="223">
        <f t="shared" si="14"/>
        <v>-0.83949594855638432</v>
      </c>
      <c r="M40" s="223">
        <f t="shared" si="14"/>
        <v>-1.7406222197853922</v>
      </c>
      <c r="N40" s="223">
        <f t="shared" si="14"/>
        <v>-2.5930820591093919</v>
      </c>
      <c r="O40" s="223">
        <f t="shared" si="14"/>
        <v>-3.3999822208409638</v>
      </c>
      <c r="P40" s="223">
        <f t="shared" si="14"/>
        <v>-4.165153962232222</v>
      </c>
      <c r="Q40" s="223">
        <f t="shared" si="14"/>
        <v>-4.8834204437986912</v>
      </c>
      <c r="R40" s="223">
        <f t="shared" si="14"/>
        <v>-5.5636530479375219</v>
      </c>
      <c r="S40" s="223">
        <f t="shared" si="14"/>
        <v>-6.2073562569063947</v>
      </c>
      <c r="T40" s="223">
        <f t="shared" si="14"/>
        <v>-6.8142296439445911</v>
      </c>
      <c r="U40" s="223">
        <f t="shared" si="14"/>
        <v>-7.3875428730446595</v>
      </c>
      <c r="V40" s="223">
        <f t="shared" si="14"/>
        <v>-7.9292739718574614</v>
      </c>
      <c r="W40" s="223">
        <f t="shared" si="14"/>
        <v>-8.4442609983570804</v>
      </c>
      <c r="X40" s="223">
        <f t="shared" si="14"/>
        <v>-8.9319101611857246</v>
      </c>
      <c r="Y40" s="223">
        <f t="shared" si="14"/>
        <v>-9.3947730509486203</v>
      </c>
      <c r="Z40" s="306">
        <f t="shared" si="14"/>
        <v>-9.8299004554916305</v>
      </c>
    </row>
    <row r="41" spans="1:27">
      <c r="A41" s="63"/>
      <c r="B41" s="303" t="s">
        <v>403</v>
      </c>
      <c r="H41" s="223">
        <f>IF(H32&lt;0,1,IF(H30=0,0,-G32/H30))</f>
        <v>1</v>
      </c>
      <c r="I41" s="223">
        <f>IF(I32&lt;0,1,IF(I30=0,0,-H32/I30))</f>
        <v>1</v>
      </c>
      <c r="J41" s="223">
        <f t="shared" ref="J41:Z41" si="15">IF(J32&lt;0,1,IF(J30=0,0,-I32/J30))</f>
        <v>1</v>
      </c>
      <c r="K41" s="223">
        <f t="shared" si="15"/>
        <v>0.16477623554479559</v>
      </c>
      <c r="L41" s="223">
        <f t="shared" si="15"/>
        <v>-1.3520166201095429</v>
      </c>
      <c r="M41" s="223">
        <f t="shared" si="15"/>
        <v>-3.0836184403052314</v>
      </c>
      <c r="N41" s="223">
        <f t="shared" si="15"/>
        <v>-5.053183350289685</v>
      </c>
      <c r="O41" s="223">
        <f t="shared" si="15"/>
        <v>-7.2881638427936437</v>
      </c>
      <c r="P41" s="223">
        <f t="shared" si="15"/>
        <v>-9.8212151679049775</v>
      </c>
      <c r="Q41" s="223">
        <f t="shared" si="15"/>
        <v>-12.66633495560106</v>
      </c>
      <c r="R41" s="223">
        <f t="shared" si="15"/>
        <v>-15.873751458070382</v>
      </c>
      <c r="S41" s="223">
        <f t="shared" si="15"/>
        <v>-19.4813430210917</v>
      </c>
      <c r="T41" s="223">
        <f t="shared" si="15"/>
        <v>-23.524568848054081</v>
      </c>
      <c r="U41" s="223">
        <f t="shared" si="15"/>
        <v>-28.054181766277711</v>
      </c>
      <c r="V41" s="223">
        <f t="shared" si="15"/>
        <v>-33.12254518373679</v>
      </c>
      <c r="W41" s="223">
        <f t="shared" si="15"/>
        <v>-38.801151177200651</v>
      </c>
      <c r="X41" s="223">
        <f t="shared" si="15"/>
        <v>-45.146074497939786</v>
      </c>
      <c r="Y41" s="223">
        <f t="shared" si="15"/>
        <v>-52.234161342299551</v>
      </c>
      <c r="Z41" s="306">
        <f t="shared" si="15"/>
        <v>-60.118777105632496</v>
      </c>
    </row>
    <row r="42" spans="1:27">
      <c r="A42" s="2"/>
      <c r="B42" s="303" t="s">
        <v>404</v>
      </c>
      <c r="H42" s="296">
        <f>IF(H40&gt;0,H40,0)</f>
        <v>1</v>
      </c>
      <c r="I42" s="296">
        <f t="shared" ref="I42:Z43" si="16">IF(I40&gt;0,I40,0)</f>
        <v>1</v>
      </c>
      <c r="J42" s="296">
        <f t="shared" si="16"/>
        <v>1</v>
      </c>
      <c r="K42" s="296">
        <f t="shared" si="16"/>
        <v>0.11254438600149959</v>
      </c>
      <c r="L42" s="296">
        <f t="shared" si="16"/>
        <v>0</v>
      </c>
      <c r="M42" s="296">
        <f t="shared" si="16"/>
        <v>0</v>
      </c>
      <c r="N42" s="296">
        <f t="shared" si="16"/>
        <v>0</v>
      </c>
      <c r="O42" s="296">
        <f t="shared" si="16"/>
        <v>0</v>
      </c>
      <c r="P42" s="296">
        <f t="shared" si="16"/>
        <v>0</v>
      </c>
      <c r="Q42" s="296">
        <f t="shared" si="16"/>
        <v>0</v>
      </c>
      <c r="R42" s="296">
        <f t="shared" si="16"/>
        <v>0</v>
      </c>
      <c r="S42" s="296">
        <f t="shared" si="16"/>
        <v>0</v>
      </c>
      <c r="T42" s="296">
        <f t="shared" si="16"/>
        <v>0</v>
      </c>
      <c r="U42" s="296">
        <f t="shared" si="16"/>
        <v>0</v>
      </c>
      <c r="V42" s="296">
        <f t="shared" si="16"/>
        <v>0</v>
      </c>
      <c r="W42" s="296">
        <f t="shared" si="16"/>
        <v>0</v>
      </c>
      <c r="X42" s="296">
        <f t="shared" si="16"/>
        <v>0</v>
      </c>
      <c r="Y42" s="296">
        <f t="shared" si="16"/>
        <v>0</v>
      </c>
      <c r="Z42" s="297">
        <f t="shared" si="16"/>
        <v>0</v>
      </c>
      <c r="AA42" s="297"/>
    </row>
    <row r="43" spans="1:27">
      <c r="A43" s="2"/>
      <c r="B43" s="295" t="s">
        <v>405</v>
      </c>
      <c r="C43" s="225"/>
      <c r="D43" s="225"/>
      <c r="E43" s="225"/>
      <c r="F43" s="225"/>
      <c r="G43" s="225"/>
      <c r="H43" s="304">
        <f>IF(H41&gt;0,H41,0)</f>
        <v>1</v>
      </c>
      <c r="I43" s="304">
        <f t="shared" si="16"/>
        <v>1</v>
      </c>
      <c r="J43" s="304">
        <f t="shared" si="16"/>
        <v>1</v>
      </c>
      <c r="K43" s="304">
        <f t="shared" si="16"/>
        <v>0.16477623554479559</v>
      </c>
      <c r="L43" s="304">
        <f t="shared" si="16"/>
        <v>0</v>
      </c>
      <c r="M43" s="304">
        <f t="shared" si="16"/>
        <v>0</v>
      </c>
      <c r="N43" s="304">
        <f t="shared" si="16"/>
        <v>0</v>
      </c>
      <c r="O43" s="304">
        <f t="shared" si="16"/>
        <v>0</v>
      </c>
      <c r="P43" s="304">
        <f t="shared" si="16"/>
        <v>0</v>
      </c>
      <c r="Q43" s="304">
        <f t="shared" si="16"/>
        <v>0</v>
      </c>
      <c r="R43" s="304">
        <f t="shared" si="16"/>
        <v>0</v>
      </c>
      <c r="S43" s="304">
        <f t="shared" si="16"/>
        <v>0</v>
      </c>
      <c r="T43" s="304">
        <f t="shared" si="16"/>
        <v>0</v>
      </c>
      <c r="U43" s="304">
        <f t="shared" si="16"/>
        <v>0</v>
      </c>
      <c r="V43" s="304">
        <f t="shared" si="16"/>
        <v>0</v>
      </c>
      <c r="W43" s="304">
        <f t="shared" si="16"/>
        <v>0</v>
      </c>
      <c r="X43" s="304">
        <f t="shared" si="16"/>
        <v>0</v>
      </c>
      <c r="Y43" s="304">
        <f t="shared" si="16"/>
        <v>0</v>
      </c>
      <c r="Z43" s="305">
        <f t="shared" si="16"/>
        <v>0</v>
      </c>
    </row>
    <row r="44" spans="1:27">
      <c r="H44" s="1"/>
      <c r="I44" s="1"/>
      <c r="J44" s="1"/>
      <c r="K44" s="1"/>
      <c r="L44" s="1"/>
      <c r="M44" s="1"/>
      <c r="N44" s="1"/>
      <c r="O44" s="1"/>
      <c r="P44" s="1"/>
      <c r="Q44" s="1"/>
      <c r="R44" s="1"/>
      <c r="S44" s="1"/>
      <c r="T44" s="1"/>
      <c r="U44" s="1"/>
      <c r="V44" s="1"/>
      <c r="W44" s="1"/>
      <c r="X44" s="1"/>
      <c r="Y44" s="1"/>
      <c r="Z44" s="1"/>
    </row>
    <row r="45" spans="1:27">
      <c r="A45" s="1"/>
      <c r="H45" s="1"/>
      <c r="I45" s="1"/>
      <c r="J45" s="1"/>
      <c r="K45" s="1"/>
      <c r="L45" s="1"/>
      <c r="M45" s="1"/>
      <c r="N45" s="1"/>
      <c r="O45" s="1"/>
      <c r="P45" s="1"/>
      <c r="Q45" s="1"/>
      <c r="R45" s="1"/>
      <c r="S45" s="1"/>
      <c r="T45" s="1"/>
      <c r="U45" s="1"/>
      <c r="V45" s="1"/>
      <c r="W45" s="1"/>
      <c r="X45" s="1"/>
      <c r="Y45" s="1"/>
      <c r="Z45" s="1"/>
    </row>
    <row r="46" spans="1:27">
      <c r="A46" s="1"/>
      <c r="I46" s="229"/>
      <c r="J46" s="1093"/>
      <c r="K46" s="1093"/>
      <c r="L46" s="1093"/>
      <c r="M46" s="1093"/>
      <c r="N46" s="1093"/>
    </row>
    <row r="47" spans="1:27">
      <c r="A47" s="1"/>
      <c r="B47" s="227" t="s">
        <v>399</v>
      </c>
      <c r="C47" s="228">
        <v>4.4999999999999998E-2</v>
      </c>
    </row>
    <row r="48" spans="1:27">
      <c r="A48" s="1"/>
      <c r="B48" s="227" t="s">
        <v>349</v>
      </c>
      <c r="C48" s="291">
        <v>4</v>
      </c>
      <c r="L48" s="226"/>
      <c r="M48" s="226"/>
      <c r="N48" s="226"/>
      <c r="O48" s="226"/>
      <c r="P48" s="226"/>
      <c r="Q48" s="226"/>
    </row>
    <row r="49" spans="1:26">
      <c r="A49" s="1"/>
    </row>
    <row r="50" spans="1:26">
      <c r="B50" s="287" t="s">
        <v>393</v>
      </c>
      <c r="C50" s="287"/>
      <c r="D50" s="287"/>
      <c r="E50" s="287"/>
      <c r="F50" s="287"/>
      <c r="G50" s="287"/>
      <c r="H50" s="158">
        <f t="shared" ref="H50:Z50" si="17">H12/((350000)*H3)*10^7</f>
        <v>74749.50916666667</v>
      </c>
      <c r="I50" s="158">
        <f t="shared" si="17"/>
        <v>79050.595924116657</v>
      </c>
      <c r="J50" s="158">
        <f t="shared" si="17"/>
        <v>83599.167213590321</v>
      </c>
      <c r="K50" s="158">
        <f t="shared" si="17"/>
        <v>88409.463295060283</v>
      </c>
      <c r="L50" s="158">
        <f t="shared" si="17"/>
        <v>93496.543813058059</v>
      </c>
      <c r="M50" s="158">
        <f t="shared" si="17"/>
        <v>98876.334944061411</v>
      </c>
      <c r="N50" s="158">
        <f t="shared" si="17"/>
        <v>104565.67925674266</v>
      </c>
      <c r="O50" s="158">
        <f t="shared" si="17"/>
        <v>110582.38844117564</v>
      </c>
      <c r="P50" s="158">
        <f t="shared" si="17"/>
        <v>116945.29907208083</v>
      </c>
      <c r="Q50" s="158">
        <f t="shared" si="17"/>
        <v>123674.33158068836</v>
      </c>
      <c r="R50" s="158">
        <f t="shared" si="17"/>
        <v>130790.55261984115</v>
      </c>
      <c r="S50" s="158">
        <f t="shared" si="17"/>
        <v>138316.24101758681</v>
      </c>
      <c r="T50" s="158">
        <f t="shared" si="17"/>
        <v>146274.95752573875</v>
      </c>
      <c r="U50" s="158">
        <f t="shared" si="17"/>
        <v>154691.61858176976</v>
      </c>
      <c r="V50" s="158">
        <f t="shared" si="17"/>
        <v>163592.57431496476</v>
      </c>
      <c r="W50" s="158">
        <f t="shared" si="17"/>
        <v>173005.69104104786</v>
      </c>
      <c r="X50" s="158">
        <f t="shared" si="17"/>
        <v>182960.43850354964</v>
      </c>
      <c r="Y50" s="158">
        <f t="shared" si="17"/>
        <v>193487.98213504389</v>
      </c>
      <c r="Z50" s="158">
        <f t="shared" si="17"/>
        <v>204621.28062709427</v>
      </c>
    </row>
    <row r="51" spans="1:26">
      <c r="B51" s="287" t="s">
        <v>482</v>
      </c>
      <c r="H51" s="158">
        <f>H13/((200000)*90%)*10^7</f>
        <v>77038.391071428574</v>
      </c>
      <c r="I51" s="158">
        <f t="shared" ref="I51:Z51" si="18">I13/((200000)*100%)*10^7</f>
        <v>81551.685212348224</v>
      </c>
      <c r="J51" s="158">
        <f t="shared" si="18"/>
        <v>86329.390690513625</v>
      </c>
      <c r="K51" s="158">
        <f t="shared" si="18"/>
        <v>91386.998044117368</v>
      </c>
      <c r="L51" s="158">
        <f t="shared" si="18"/>
        <v>96740.905324531981</v>
      </c>
      <c r="M51" s="158">
        <f t="shared" si="18"/>
        <v>102408.47126296967</v>
      </c>
      <c r="N51" s="158">
        <f t="shared" si="18"/>
        <v>108408.0715519107</v>
      </c>
      <c r="O51" s="158">
        <f t="shared" si="18"/>
        <v>114759.15842377942</v>
      </c>
      <c r="P51" s="158">
        <f t="shared" si="18"/>
        <v>121482.32372003648</v>
      </c>
      <c r="Q51" s="158">
        <f t="shared" si="18"/>
        <v>128599.36565517483</v>
      </c>
      <c r="R51" s="158">
        <f t="shared" si="18"/>
        <v>136133.35949208323</v>
      </c>
      <c r="S51" s="158">
        <f t="shared" si="18"/>
        <v>144108.73235792693</v>
      </c>
      <c r="T51" s="158">
        <f t="shared" si="18"/>
        <v>152551.34244311607</v>
      </c>
      <c r="U51" s="158">
        <f t="shared" si="18"/>
        <v>161488.56284014598</v>
      </c>
      <c r="V51" s="158">
        <f t="shared" si="18"/>
        <v>170949.37029413591</v>
      </c>
      <c r="W51" s="158">
        <f t="shared" si="18"/>
        <v>180964.43915281785</v>
      </c>
      <c r="X51" s="158">
        <f t="shared" si="18"/>
        <v>191566.2408205856</v>
      </c>
      <c r="Y51" s="158">
        <f t="shared" si="18"/>
        <v>202789.14903905967</v>
      </c>
      <c r="Z51" s="158">
        <f t="shared" si="18"/>
        <v>214669.55133551292</v>
      </c>
    </row>
    <row r="52" spans="1:26">
      <c r="B52" s="287" t="s">
        <v>483</v>
      </c>
      <c r="H52" s="158">
        <f>H14/((200000)*90%)*10^7</f>
        <v>36032.882845758926</v>
      </c>
      <c r="I52" s="158">
        <f t="shared" ref="I52:Z52" si="19">I14/((200000)*90%)*10^7</f>
        <v>42340.238805226545</v>
      </c>
      <c r="J52" s="158">
        <f t="shared" si="19"/>
        <v>44776.496146079284</v>
      </c>
      <c r="K52" s="158">
        <f t="shared" si="19"/>
        <v>47352.935734324681</v>
      </c>
      <c r="L52" s="158">
        <f t="shared" si="19"/>
        <v>50077.623656477706</v>
      </c>
      <c r="M52" s="158">
        <f t="shared" si="19"/>
        <v>52959.090121671434</v>
      </c>
      <c r="N52" s="158">
        <f t="shared" si="19"/>
        <v>56006.356167272403</v>
      </c>
      <c r="O52" s="158">
        <f t="shared" si="19"/>
        <v>59228.961901137256</v>
      </c>
      <c r="P52" s="158">
        <f t="shared" si="19"/>
        <v>62636.996368928674</v>
      </c>
      <c r="Q52" s="158">
        <f t="shared" si="19"/>
        <v>66241.129139996818</v>
      </c>
      <c r="R52" s="158">
        <f t="shared" si="19"/>
        <v>70052.643710712218</v>
      </c>
      <c r="S52" s="158">
        <f t="shared" si="19"/>
        <v>74083.472829826613</v>
      </c>
      <c r="T52" s="158">
        <f t="shared" si="19"/>
        <v>78346.235856454805</v>
      </c>
      <c r="U52" s="158">
        <f t="shared" si="19"/>
        <v>82854.278267635236</v>
      </c>
      <c r="V52" s="158">
        <f t="shared" si="19"/>
        <v>87621.713439154948</v>
      </c>
      <c r="W52" s="158">
        <f t="shared" si="19"/>
        <v>92663.466830443926</v>
      </c>
      <c r="X52" s="158">
        <f t="shared" si="19"/>
        <v>97995.322711867615</v>
      </c>
      <c r="Y52" s="158">
        <f t="shared" si="19"/>
        <v>103633.97358070849</v>
      </c>
      <c r="Z52" s="158">
        <f t="shared" si="19"/>
        <v>109597.07242054242</v>
      </c>
    </row>
    <row r="53" spans="1:26">
      <c r="B53" s="1" t="s">
        <v>394</v>
      </c>
      <c r="H53" s="75">
        <f>H24/((673000))*10^7</f>
        <v>36418.460334515839</v>
      </c>
      <c r="I53" s="75">
        <f t="shared" ref="I53:Z53" si="20">I24/((673000))*10^7</f>
        <v>43783.252741744989</v>
      </c>
      <c r="J53" s="75">
        <f t="shared" si="20"/>
        <v>47707.520083627423</v>
      </c>
      <c r="K53" s="75">
        <f t="shared" si="20"/>
        <v>50361.520537244862</v>
      </c>
      <c r="L53" s="75">
        <f t="shared" si="20"/>
        <v>53127.610496521098</v>
      </c>
      <c r="M53" s="75">
        <f t="shared" si="20"/>
        <v>56064.71507304463</v>
      </c>
      <c r="N53" s="75">
        <f t="shared" si="20"/>
        <v>59161.062760428009</v>
      </c>
      <c r="O53" s="75">
        <f t="shared" si="20"/>
        <v>62436.674491489728</v>
      </c>
      <c r="P53" s="75">
        <f t="shared" si="20"/>
        <v>65921.772487731199</v>
      </c>
      <c r="Q53" s="75">
        <f t="shared" si="20"/>
        <v>69517.639099326276</v>
      </c>
      <c r="R53" s="75">
        <f t="shared" si="20"/>
        <v>73327.032450753017</v>
      </c>
      <c r="S53" s="75">
        <f t="shared" si="20"/>
        <v>77353.166922121454</v>
      </c>
      <c r="T53" s="75">
        <f t="shared" si="20"/>
        <v>81580.22145400611</v>
      </c>
      <c r="U53" s="75">
        <f t="shared" si="20"/>
        <v>86035.495328824443</v>
      </c>
      <c r="V53" s="75">
        <f t="shared" si="20"/>
        <v>90733.580257037014</v>
      </c>
      <c r="W53" s="75">
        <f t="shared" si="20"/>
        <v>95723.911431869856</v>
      </c>
      <c r="X53" s="75">
        <f t="shared" si="20"/>
        <v>100999.16070242455</v>
      </c>
      <c r="Y53" s="75">
        <f t="shared" si="20"/>
        <v>106587.76180703731</v>
      </c>
      <c r="Z53" s="75">
        <f t="shared" si="20"/>
        <v>112457.57257340747</v>
      </c>
    </row>
    <row r="54" spans="1:26">
      <c r="B54" s="1" t="s">
        <v>491</v>
      </c>
      <c r="H54" s="75">
        <f>'Cashflow Phenol'!H19/((223000))*10^7</f>
        <v>66942.302690582947</v>
      </c>
      <c r="I54" s="75">
        <f>'Cashflow Phenol'!I19/((223000))*10^7</f>
        <v>78365.375690582965</v>
      </c>
      <c r="J54" s="75">
        <f>'Cashflow Phenol'!J19/((223000))*10^7</f>
        <v>82690.341409502944</v>
      </c>
      <c r="K54" s="75">
        <f>'Cashflow Phenol'!K19/((223000))*10^7</f>
        <v>87255.877645965389</v>
      </c>
      <c r="L54" s="75">
        <f>'Cashflow Phenol'!L19/((223000))*10^7</f>
        <v>92075.453867103002</v>
      </c>
      <c r="M54" s="75">
        <f>'Cashflow Phenol'!M19/((223000))*10^7</f>
        <v>97163.297789967444</v>
      </c>
      <c r="N54" s="75">
        <f>'Cashflow Phenol'!N19/((223000)*N3)*10^7</f>
        <v>102534.43825598423</v>
      </c>
      <c r="O54" s="75">
        <f>'Cashflow Phenol'!O19/((223000)*O3)*10^7</f>
        <v>108204.7505384189</v>
      </c>
      <c r="P54" s="75">
        <f>'Cashflow Phenol'!P19/((223000)*P3)*10^7</f>
        <v>114191.00422131816</v>
      </c>
      <c r="Q54" s="75">
        <f>'Cashflow Phenol'!Q19/((223000)*Q3)*10^7</f>
        <v>120510.91379629279</v>
      </c>
      <c r="R54" s="75">
        <f>'Cashflow Phenol'!R19/((223000)*R3)*10^7</f>
        <v>127183.19213185504</v>
      </c>
      <c r="S54" s="75">
        <f>'Cashflow Phenol'!S19/((223000)*S3)*10^7</f>
        <v>134227.60697885312</v>
      </c>
      <c r="T54" s="75">
        <f>'Cashflow Phenol'!T19/((223000)*T3)*10^7</f>
        <v>141665.04068487536</v>
      </c>
      <c r="U54" s="75">
        <f>'Cashflow Phenol'!U19/((223000)*U3)*10^7</f>
        <v>149517.55330036281</v>
      </c>
      <c r="V54" s="75">
        <f>'Cashflow Phenol'!V19/((223000)*V3)*10^7</f>
        <v>157808.44926959698</v>
      </c>
      <c r="W54" s="75">
        <f>'Cashflow Phenol'!W19/((223000)*W3)*10^7</f>
        <v>166562.34791075584</v>
      </c>
      <c r="X54" s="75">
        <f>'Cashflow Phenol'!X19/((223000)*X3)*10^7</f>
        <v>175805.25790088519</v>
      </c>
      <c r="Y54" s="75">
        <f>'Cashflow Phenol'!Y19/((223000)*Y3)*10^7</f>
        <v>185564.65599395722</v>
      </c>
      <c r="Z54" s="75">
        <f>'Cashflow Phenol'!Z19/((223000)*Z3)*10^7</f>
        <v>195869.57021321007</v>
      </c>
    </row>
    <row r="55" spans="1:26">
      <c r="B55" s="225" t="s">
        <v>481</v>
      </c>
      <c r="H55" s="75">
        <f>H50-H53</f>
        <v>38331.048832150831</v>
      </c>
      <c r="I55" s="75">
        <f t="shared" ref="I55:Z55" si="21">I50-I53</f>
        <v>35267.343182371667</v>
      </c>
      <c r="J55" s="75">
        <f t="shared" si="21"/>
        <v>35891.647129962897</v>
      </c>
      <c r="K55" s="75">
        <f t="shared" si="21"/>
        <v>38047.942757815421</v>
      </c>
      <c r="L55" s="75">
        <f t="shared" si="21"/>
        <v>40368.933316536961</v>
      </c>
      <c r="M55" s="75">
        <f t="shared" si="21"/>
        <v>42811.619871016781</v>
      </c>
      <c r="N55" s="75">
        <f t="shared" si="21"/>
        <v>45404.616496314651</v>
      </c>
      <c r="O55" s="75">
        <f t="shared" si="21"/>
        <v>48145.713949685916</v>
      </c>
      <c r="P55" s="75">
        <f t="shared" si="21"/>
        <v>51023.526584349631</v>
      </c>
      <c r="Q55" s="75">
        <f t="shared" si="21"/>
        <v>54156.692481362086</v>
      </c>
      <c r="R55" s="75">
        <f t="shared" si="21"/>
        <v>57463.520169088137</v>
      </c>
      <c r="S55" s="75">
        <f t="shared" si="21"/>
        <v>60963.074095465359</v>
      </c>
      <c r="T55" s="75">
        <f t="shared" si="21"/>
        <v>64694.736071732637</v>
      </c>
      <c r="U55" s="75">
        <f t="shared" si="21"/>
        <v>68656.123252945312</v>
      </c>
      <c r="V55" s="75">
        <f t="shared" si="21"/>
        <v>72858.994057927746</v>
      </c>
      <c r="W55" s="75">
        <f t="shared" si="21"/>
        <v>77281.779609178004</v>
      </c>
      <c r="X55" s="75">
        <f t="shared" si="21"/>
        <v>81961.277801125092</v>
      </c>
      <c r="Y55" s="75">
        <f t="shared" si="21"/>
        <v>86900.220328006573</v>
      </c>
      <c r="Z55" s="75">
        <f t="shared" si="21"/>
        <v>92163.708053686802</v>
      </c>
    </row>
    <row r="56" spans="1:26">
      <c r="B56" s="225" t="s">
        <v>492</v>
      </c>
      <c r="H56" s="75">
        <f>(H51*0.62)+(H52*0.38)/323000</f>
        <v>47763.84485591259</v>
      </c>
      <c r="I56" s="75">
        <f t="shared" ref="I56:Z56" si="22">(I51*0.62)+(I52*0.38)/323000</f>
        <v>50562.094643701552</v>
      </c>
      <c r="J56" s="75">
        <f t="shared" si="22"/>
        <v>53524.274906349201</v>
      </c>
      <c r="K56" s="75">
        <f t="shared" si="22"/>
        <v>56659.994496688923</v>
      </c>
      <c r="L56" s="75">
        <f t="shared" si="22"/>
        <v>59979.420216061189</v>
      </c>
      <c r="M56" s="75">
        <f t="shared" si="22"/>
        <v>63493.314487853102</v>
      </c>
      <c r="N56" s="75">
        <f t="shared" si="22"/>
        <v>67213.07025201543</v>
      </c>
      <c r="O56" s="75">
        <f t="shared" si="22"/>
        <v>71150.747903874886</v>
      </c>
      <c r="P56" s="75">
        <f t="shared" si="22"/>
        <v>75319.114397006575</v>
      </c>
      <c r="Q56" s="75">
        <f t="shared" si="22"/>
        <v>79731.684636948557</v>
      </c>
      <c r="R56" s="75">
        <f t="shared" si="22"/>
        <v>84402.765299966559</v>
      </c>
      <c r="S56" s="75">
        <f t="shared" si="22"/>
        <v>89347.501218941557</v>
      </c>
      <c r="T56" s="75">
        <f t="shared" si="22"/>
        <v>94581.924486774151</v>
      </c>
      <c r="U56" s="75">
        <f t="shared" si="22"/>
        <v>100123.00643651199</v>
      </c>
      <c r="V56" s="75">
        <f t="shared" si="22"/>
        <v>105988.71266673302</v>
      </c>
      <c r="W56" s="75">
        <f t="shared" si="22"/>
        <v>112198.0612905904</v>
      </c>
      <c r="X56" s="75">
        <f t="shared" si="22"/>
        <v>118771.18459737803</v>
      </c>
      <c r="Y56" s="75">
        <f t="shared" si="22"/>
        <v>125729.39432653887</v>
      </c>
      <c r="Z56" s="75">
        <f t="shared" si="22"/>
        <v>133095.25076575027</v>
      </c>
    </row>
    <row r="57" spans="1:26">
      <c r="H57" s="616">
        <f>H55/H50</f>
        <v>0.51279331810306972</v>
      </c>
      <c r="I57" s="226"/>
      <c r="J57" s="226"/>
      <c r="K57" s="226"/>
      <c r="L57" s="226"/>
      <c r="M57" s="226"/>
      <c r="N57" s="226"/>
      <c r="P57" s="226"/>
    </row>
    <row r="58" spans="1:26">
      <c r="B58" s="1" t="s">
        <v>75</v>
      </c>
      <c r="I58" s="226"/>
      <c r="J58" s="226"/>
      <c r="K58" s="226"/>
      <c r="L58" s="226"/>
      <c r="M58" s="226"/>
      <c r="N58" s="226"/>
      <c r="P58" s="226"/>
    </row>
    <row r="59" spans="1:26">
      <c r="B59" s="1" t="s">
        <v>74</v>
      </c>
    </row>
    <row r="63" spans="1:26">
      <c r="B63" s="1" t="s">
        <v>38</v>
      </c>
    </row>
    <row r="64" spans="1:26">
      <c r="B64" s="1" t="s">
        <v>39</v>
      </c>
    </row>
    <row r="65" spans="2:13">
      <c r="B65" s="1" t="s">
        <v>40</v>
      </c>
    </row>
    <row r="69" spans="2:13">
      <c r="H69" s="199"/>
      <c r="I69" s="199"/>
      <c r="J69" s="199"/>
      <c r="K69" s="199"/>
      <c r="L69" s="199"/>
      <c r="M69" s="199"/>
    </row>
    <row r="70" spans="2:13">
      <c r="H70" s="231"/>
      <c r="I70" s="231"/>
      <c r="J70" s="231"/>
      <c r="K70" s="231"/>
      <c r="L70" s="231">
        <v>0.05</v>
      </c>
      <c r="M70" s="231"/>
    </row>
    <row r="71" spans="2:13">
      <c r="H71" s="231"/>
      <c r="I71" s="231"/>
      <c r="J71" s="231"/>
      <c r="K71" s="231"/>
      <c r="L71" s="231"/>
      <c r="M71" s="231"/>
    </row>
  </sheetData>
  <mergeCells count="9">
    <mergeCell ref="R4:Z4"/>
    <mergeCell ref="A1:H1"/>
    <mergeCell ref="B5:B6"/>
    <mergeCell ref="A7:G7"/>
    <mergeCell ref="J46:N46"/>
    <mergeCell ref="A2:B2"/>
    <mergeCell ref="A3:B3"/>
    <mergeCell ref="A4:B4"/>
    <mergeCell ref="H4:Q4"/>
  </mergeCells>
  <hyperlinks>
    <hyperlink ref="B35" r:id="rId1" display="NPV@12%" xr:uid="{0060485A-F42B-4A99-8530-98A7CC5B4162}"/>
  </hyperlinks>
  <pageMargins left="0.7" right="0.7" top="0.75" bottom="0.75" header="0.3" footer="0.3"/>
  <pageSetup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34D84-A8D7-416C-B862-2029FCDE42FB}">
  <sheetPr codeName="Sheet20"/>
  <dimension ref="A1:AB72"/>
  <sheetViews>
    <sheetView showGridLines="0" zoomScaleNormal="100" workbookViewId="0">
      <pane ySplit="9" topLeftCell="A10" activePane="bottomLeft" state="frozen"/>
      <selection activeCell="F23" sqref="F23:I23"/>
      <selection pane="bottomLeft" activeCell="H14" sqref="H14"/>
    </sheetView>
  </sheetViews>
  <sheetFormatPr defaultColWidth="8.7109375" defaultRowHeight="12.75"/>
  <cols>
    <col min="1" max="1" width="8.85546875" style="58" bestFit="1" customWidth="1"/>
    <col min="2" max="2" width="76.5703125" style="1" customWidth="1"/>
    <col min="3" max="3" width="15.140625" style="1" customWidth="1"/>
    <col min="4" max="4" width="10.28515625" style="1" customWidth="1"/>
    <col min="5" max="5" width="8.140625" style="1" customWidth="1"/>
    <col min="6" max="6" width="13.7109375" style="1" customWidth="1"/>
    <col min="7" max="7" width="23.42578125" style="1" customWidth="1"/>
    <col min="8" max="8" width="21.140625" style="32" customWidth="1"/>
    <col min="9" max="10" width="14" style="32" customWidth="1"/>
    <col min="11" max="11" width="16" style="32" customWidth="1"/>
    <col min="12" max="12" width="18.5703125" style="32" bestFit="1" customWidth="1"/>
    <col min="13" max="17" width="18.7109375" style="32" bestFit="1" customWidth="1"/>
    <col min="18" max="18" width="15" style="32" customWidth="1"/>
    <col min="19" max="19" width="16.28515625" style="32" customWidth="1"/>
    <col min="20" max="20" width="16.42578125" style="32" customWidth="1"/>
    <col min="21" max="21" width="18" style="32" customWidth="1"/>
    <col min="22" max="22" width="18.7109375" style="32" customWidth="1"/>
    <col min="23" max="23" width="19.140625" style="32" customWidth="1"/>
    <col min="24" max="24" width="20.42578125" style="32" customWidth="1"/>
    <col min="25" max="25" width="19" style="32" customWidth="1"/>
    <col min="26" max="27" width="19.28515625" style="32" customWidth="1"/>
    <col min="28" max="16384" width="8.7109375" style="1"/>
  </cols>
  <sheetData>
    <row r="1" spans="1:28">
      <c r="A1" s="1089" t="s">
        <v>466</v>
      </c>
      <c r="B1" s="1090"/>
      <c r="C1" s="166">
        <v>1</v>
      </c>
      <c r="D1" s="166">
        <v>2</v>
      </c>
      <c r="E1" s="166">
        <v>3</v>
      </c>
      <c r="F1" s="166">
        <v>4</v>
      </c>
      <c r="G1" s="166"/>
      <c r="H1" s="166">
        <v>5</v>
      </c>
      <c r="I1" s="166">
        <v>6</v>
      </c>
      <c r="J1" s="166">
        <v>7</v>
      </c>
      <c r="K1" s="166">
        <v>8</v>
      </c>
      <c r="L1" s="166">
        <v>9</v>
      </c>
      <c r="M1" s="166">
        <v>10</v>
      </c>
      <c r="N1" s="166">
        <v>11</v>
      </c>
      <c r="O1" s="166">
        <v>12</v>
      </c>
      <c r="P1" s="166">
        <v>13</v>
      </c>
      <c r="Q1" s="166">
        <v>14</v>
      </c>
      <c r="R1" s="530">
        <v>15</v>
      </c>
      <c r="S1" s="166">
        <v>16</v>
      </c>
      <c r="T1" s="166">
        <v>17</v>
      </c>
      <c r="U1" s="166">
        <v>18</v>
      </c>
      <c r="V1" s="166">
        <v>19</v>
      </c>
      <c r="W1" s="166">
        <v>20</v>
      </c>
      <c r="X1" s="166">
        <v>21</v>
      </c>
      <c r="Y1" s="166">
        <v>22</v>
      </c>
      <c r="Z1" s="166">
        <v>23</v>
      </c>
      <c r="AA1" s="531">
        <v>24</v>
      </c>
    </row>
    <row r="2" spans="1:28" ht="12" customHeight="1">
      <c r="A2" s="1098" t="s">
        <v>467</v>
      </c>
      <c r="B2" s="1099"/>
      <c r="C2" s="158"/>
      <c r="D2" s="158"/>
      <c r="E2" s="158"/>
      <c r="F2" s="158"/>
      <c r="G2" s="158"/>
      <c r="H2" s="168">
        <v>0.9</v>
      </c>
      <c r="I2" s="168">
        <v>1</v>
      </c>
      <c r="J2" s="168">
        <v>1</v>
      </c>
      <c r="K2" s="168">
        <v>1</v>
      </c>
      <c r="L2" s="168">
        <v>1</v>
      </c>
      <c r="M2" s="168">
        <v>1</v>
      </c>
      <c r="N2" s="168">
        <v>1</v>
      </c>
      <c r="O2" s="168">
        <v>1</v>
      </c>
      <c r="P2" s="168">
        <v>1</v>
      </c>
      <c r="Q2" s="168">
        <v>1</v>
      </c>
      <c r="R2" s="532">
        <v>1</v>
      </c>
      <c r="S2" s="168">
        <v>1</v>
      </c>
      <c r="T2" s="168">
        <v>1</v>
      </c>
      <c r="U2" s="168">
        <v>1</v>
      </c>
      <c r="V2" s="168">
        <v>1</v>
      </c>
      <c r="W2" s="168">
        <v>1</v>
      </c>
      <c r="X2" s="168">
        <v>1</v>
      </c>
      <c r="Y2" s="168">
        <v>1</v>
      </c>
      <c r="Z2" s="168">
        <v>1</v>
      </c>
      <c r="AA2" s="533">
        <v>1</v>
      </c>
    </row>
    <row r="3" spans="1:28" s="167" customFormat="1" ht="15" customHeight="1">
      <c r="A3" s="1096"/>
      <c r="B3" s="169" t="s">
        <v>24</v>
      </c>
      <c r="C3" s="169"/>
      <c r="D3" s="169"/>
      <c r="E3" s="169"/>
      <c r="F3" s="169"/>
      <c r="G3" s="170"/>
      <c r="H3" s="1088" t="s">
        <v>25</v>
      </c>
      <c r="I3" s="1088"/>
      <c r="J3" s="1088"/>
      <c r="K3" s="1088"/>
      <c r="L3" s="1088"/>
      <c r="M3" s="1088"/>
      <c r="N3" s="1088"/>
      <c r="O3" s="1088"/>
      <c r="P3" s="1088"/>
      <c r="Q3" s="1088"/>
      <c r="R3" s="1105" t="s">
        <v>25</v>
      </c>
      <c r="S3" s="1088"/>
      <c r="T3" s="1088"/>
      <c r="U3" s="1088"/>
      <c r="V3" s="1088"/>
      <c r="W3" s="1088"/>
      <c r="X3" s="1088"/>
      <c r="Y3" s="1088"/>
      <c r="Z3" s="1088"/>
      <c r="AA3" s="1106"/>
    </row>
    <row r="4" spans="1:28" s="167" customFormat="1" ht="15" customHeight="1">
      <c r="A4" s="1100"/>
      <c r="B4" s="1091" t="s">
        <v>26</v>
      </c>
      <c r="C4" s="171">
        <v>2023</v>
      </c>
      <c r="D4" s="171">
        <v>2024</v>
      </c>
      <c r="E4" s="171">
        <v>2025</v>
      </c>
      <c r="F4" s="171">
        <v>2026</v>
      </c>
      <c r="G4" s="171" t="s">
        <v>151</v>
      </c>
      <c r="H4" s="171">
        <v>2027</v>
      </c>
      <c r="I4" s="171">
        <v>2028</v>
      </c>
      <c r="J4" s="171">
        <v>2029</v>
      </c>
      <c r="K4" s="171">
        <v>2030</v>
      </c>
      <c r="L4" s="171">
        <v>2031</v>
      </c>
      <c r="M4" s="171">
        <v>2032</v>
      </c>
      <c r="N4" s="171">
        <v>2033</v>
      </c>
      <c r="O4" s="171">
        <v>2034</v>
      </c>
      <c r="P4" s="171">
        <v>2035</v>
      </c>
      <c r="Q4" s="534">
        <v>2036</v>
      </c>
      <c r="R4" s="171">
        <v>2037</v>
      </c>
      <c r="S4" s="171">
        <v>2038</v>
      </c>
      <c r="T4" s="171">
        <v>2039</v>
      </c>
      <c r="U4" s="171">
        <v>2040</v>
      </c>
      <c r="V4" s="171">
        <v>2041</v>
      </c>
      <c r="W4" s="171">
        <v>2042</v>
      </c>
      <c r="X4" s="171">
        <v>2043</v>
      </c>
      <c r="Y4" s="171">
        <v>2044</v>
      </c>
      <c r="Z4" s="171">
        <v>2045</v>
      </c>
      <c r="AA4" s="171">
        <v>2046</v>
      </c>
    </row>
    <row r="5" spans="1:28">
      <c r="A5" s="1101"/>
      <c r="B5" s="1092"/>
      <c r="C5" s="172">
        <v>0.05</v>
      </c>
      <c r="D5" s="172">
        <v>0.25</v>
      </c>
      <c r="E5" s="172">
        <v>0.35</v>
      </c>
      <c r="F5" s="172">
        <v>0.35</v>
      </c>
      <c r="G5" s="173"/>
      <c r="H5" s="174"/>
      <c r="I5" s="174"/>
      <c r="J5" s="174"/>
      <c r="K5" s="174"/>
      <c r="L5" s="174"/>
      <c r="M5" s="174"/>
      <c r="N5" s="175"/>
      <c r="O5" s="174"/>
      <c r="P5" s="175"/>
      <c r="Q5" s="174"/>
      <c r="R5" s="535"/>
      <c r="S5" s="176"/>
      <c r="T5" s="176"/>
      <c r="U5" s="176"/>
      <c r="V5" s="176"/>
      <c r="W5" s="176"/>
      <c r="X5" s="176"/>
      <c r="Y5" s="176"/>
      <c r="Z5" s="176"/>
      <c r="AA5" s="536"/>
    </row>
    <row r="6" spans="1:28">
      <c r="A6" s="1094" t="s">
        <v>243</v>
      </c>
      <c r="B6" s="1095"/>
      <c r="C6" s="1095"/>
      <c r="D6" s="1095"/>
      <c r="E6" s="1095"/>
      <c r="F6" s="1095"/>
      <c r="G6" s="1095"/>
      <c r="H6" s="177"/>
      <c r="I6" s="177"/>
      <c r="J6" s="177"/>
      <c r="K6" s="177"/>
      <c r="L6" s="177"/>
      <c r="M6" s="177"/>
      <c r="N6" s="178"/>
      <c r="O6" s="177"/>
      <c r="P6" s="178"/>
      <c r="Q6" s="177"/>
      <c r="R6" s="537"/>
      <c r="S6" s="179"/>
      <c r="T6" s="179"/>
      <c r="U6" s="179"/>
      <c r="V6" s="179"/>
      <c r="W6" s="179"/>
      <c r="X6" s="179"/>
      <c r="Y6" s="179"/>
      <c r="Z6" s="179"/>
      <c r="AA6" s="538"/>
    </row>
    <row r="7" spans="1:28">
      <c r="A7" s="180">
        <v>1</v>
      </c>
      <c r="B7" s="181" t="s">
        <v>241</v>
      </c>
      <c r="C7" s="182">
        <f>ROUND($G7*C$5,2)</f>
        <v>-88.43</v>
      </c>
      <c r="D7" s="182">
        <f>ROUND($G7*D$5,2)</f>
        <v>-442.17</v>
      </c>
      <c r="E7" s="182">
        <f>ROUND($G7*E$5,2)</f>
        <v>-619.04</v>
      </c>
      <c r="F7" s="182">
        <f>ROUND($G7*F$5,2)</f>
        <v>-619.04</v>
      </c>
      <c r="G7" s="587">
        <f>-[9]Capex!D22</f>
        <v>-1768.675</v>
      </c>
      <c r="H7" s="183"/>
      <c r="I7" s="183"/>
      <c r="J7" s="183"/>
      <c r="K7" s="183"/>
      <c r="L7" s="183"/>
      <c r="M7" s="183"/>
      <c r="N7" s="185"/>
      <c r="O7" s="183"/>
      <c r="P7" s="183"/>
      <c r="Q7" s="183"/>
      <c r="R7" s="539"/>
      <c r="S7" s="186"/>
      <c r="T7" s="186"/>
      <c r="U7" s="186"/>
      <c r="V7" s="186"/>
      <c r="W7" s="186"/>
      <c r="X7" s="186"/>
      <c r="Y7" s="186"/>
      <c r="Z7" s="186"/>
      <c r="AA7" s="540"/>
    </row>
    <row r="8" spans="1:28">
      <c r="A8" s="187"/>
      <c r="B8" s="541" t="s">
        <v>242</v>
      </c>
      <c r="C8" s="542">
        <f>SUM(C7:C7)</f>
        <v>-88.43</v>
      </c>
      <c r="D8" s="542">
        <f>SUM(D7:D7)</f>
        <v>-442.17</v>
      </c>
      <c r="E8" s="542">
        <f>SUM(E7:E7)</f>
        <v>-619.04</v>
      </c>
      <c r="F8" s="542">
        <f>SUM(F7:F7)</f>
        <v>-619.04</v>
      </c>
      <c r="G8" s="242">
        <f>G7</f>
        <v>-1768.675</v>
      </c>
      <c r="H8" s="191"/>
      <c r="I8" s="191"/>
      <c r="J8" s="191"/>
      <c r="K8" s="191"/>
      <c r="L8" s="191"/>
      <c r="M8" s="191"/>
      <c r="N8" s="192"/>
      <c r="O8" s="192"/>
      <c r="P8" s="192"/>
      <c r="Q8" s="192"/>
      <c r="R8" s="543"/>
      <c r="S8" s="193"/>
      <c r="T8" s="193"/>
      <c r="U8" s="193"/>
      <c r="V8" s="193"/>
      <c r="W8" s="193"/>
      <c r="X8" s="193"/>
      <c r="Y8" s="193"/>
      <c r="Z8" s="193"/>
      <c r="AA8" s="544"/>
    </row>
    <row r="9" spans="1:28">
      <c r="A9" s="53"/>
      <c r="B9" s="545" t="s">
        <v>223</v>
      </c>
      <c r="C9" s="545"/>
      <c r="D9" s="545"/>
      <c r="E9" s="545"/>
      <c r="F9" s="545"/>
      <c r="G9" s="546"/>
      <c r="H9" s="547">
        <v>0.9</v>
      </c>
      <c r="I9" s="547">
        <v>0.9</v>
      </c>
      <c r="J9" s="547">
        <v>1</v>
      </c>
      <c r="K9" s="547">
        <v>1</v>
      </c>
      <c r="L9" s="547">
        <v>1</v>
      </c>
      <c r="M9" s="547">
        <v>1</v>
      </c>
      <c r="N9" s="547">
        <v>1</v>
      </c>
      <c r="O9" s="547">
        <v>1</v>
      </c>
      <c r="P9" s="547">
        <v>1</v>
      </c>
      <c r="Q9" s="547">
        <v>1</v>
      </c>
      <c r="R9" s="548">
        <v>1</v>
      </c>
      <c r="S9" s="547">
        <v>1</v>
      </c>
      <c r="T9" s="547">
        <v>1</v>
      </c>
      <c r="U9" s="547">
        <v>1</v>
      </c>
      <c r="V9" s="547">
        <v>1</v>
      </c>
      <c r="W9" s="547">
        <v>1</v>
      </c>
      <c r="X9" s="547">
        <v>1</v>
      </c>
      <c r="Y9" s="547">
        <v>1</v>
      </c>
      <c r="Z9" s="547">
        <v>1</v>
      </c>
      <c r="AA9" s="549">
        <v>1</v>
      </c>
    </row>
    <row r="10" spans="1:28" s="167" customFormat="1">
      <c r="A10" s="194">
        <v>2</v>
      </c>
      <c r="B10" s="195" t="s">
        <v>27</v>
      </c>
      <c r="C10" s="195"/>
      <c r="D10" s="195"/>
      <c r="E10" s="195"/>
      <c r="F10" s="195"/>
      <c r="G10" s="196"/>
      <c r="H10" s="197">
        <f>H11+H12</f>
        <v>2035.2829305093751</v>
      </c>
      <c r="I10" s="197">
        <f>I11+I12</f>
        <v>2393.1580027410423</v>
      </c>
      <c r="J10" s="197">
        <f t="shared" ref="J10:AA10" si="0">J11+J12</f>
        <v>2532.5647444396996</v>
      </c>
      <c r="K10" s="197">
        <f t="shared" si="0"/>
        <v>2680.0928041001916</v>
      </c>
      <c r="L10" s="197">
        <f t="shared" si="0"/>
        <v>2836.215332307238</v>
      </c>
      <c r="M10" s="197">
        <f t="shared" si="0"/>
        <v>3001.4330474494791</v>
      </c>
      <c r="N10" s="197">
        <f t="shared" si="0"/>
        <v>3176.2758420491173</v>
      </c>
      <c r="O10" s="197">
        <f t="shared" si="0"/>
        <v>3361.304482696059</v>
      </c>
      <c r="P10" s="197">
        <f t="shared" si="0"/>
        <v>3557.112409041446</v>
      </c>
      <c r="Q10" s="197">
        <f t="shared" si="0"/>
        <v>3764.3276376234389</v>
      </c>
      <c r="R10" s="550">
        <f t="shared" si="0"/>
        <v>3983.6147766344848</v>
      </c>
      <c r="S10" s="197">
        <f t="shared" si="0"/>
        <v>4215.6771580954173</v>
      </c>
      <c r="T10" s="197">
        <f t="shared" si="0"/>
        <v>4461.2590942785073</v>
      </c>
      <c r="U10" s="197">
        <f t="shared" si="0"/>
        <v>4721.1482656203543</v>
      </c>
      <c r="V10" s="197">
        <f t="shared" si="0"/>
        <v>4996.1782477875067</v>
      </c>
      <c r="W10" s="197">
        <f t="shared" si="0"/>
        <v>5287.2311860043483</v>
      </c>
      <c r="X10" s="197">
        <f t="shared" si="0"/>
        <v>5595.2406252253295</v>
      </c>
      <c r="Y10" s="197">
        <f t="shared" si="0"/>
        <v>5921.1945052339461</v>
      </c>
      <c r="Z10" s="197">
        <f t="shared" si="0"/>
        <v>6266.1383302800223</v>
      </c>
      <c r="AA10" s="551">
        <f t="shared" si="0"/>
        <v>6631.1785234272465</v>
      </c>
    </row>
    <row r="11" spans="1:28">
      <c r="A11" s="52"/>
      <c r="B11" s="162" t="s">
        <v>460</v>
      </c>
      <c r="C11" s="162"/>
      <c r="D11" s="162"/>
      <c r="E11" s="162"/>
      <c r="F11" s="162"/>
      <c r="G11" s="201"/>
      <c r="H11" s="202">
        <f>IF(H$1&lt;=$H$56,0,[9]Sales!E3*H$2*(1+$H$55)^(H$1-$H$56-1))</f>
        <v>1386.6910392857144</v>
      </c>
      <c r="I11" s="202">
        <f>IF(I$1&lt;=$H$56,0,[9]Sales!F3*I$2*(1+$H$55)^(I$1-$H$56-1))</f>
        <v>1631.0337042469644</v>
      </c>
      <c r="J11" s="202">
        <f>IF(J$1&lt;=$H$56,0,[9]Sales!G3*J$2*(1+$H$55)^(J$1-$H$56-1))</f>
        <v>1726.5878138102726</v>
      </c>
      <c r="K11" s="202">
        <f>IF(K$1&lt;=$H$56,0,[9]Sales!H3*K$2*(1+$H$55)^(K$1-$H$56-1))</f>
        <v>1827.7399608823475</v>
      </c>
      <c r="L11" s="202">
        <f>IF(L$1&lt;=$H$56,0,[9]Sales!I3*L$2*(1+$H$55)^(L$1-$H$56-1))</f>
        <v>1934.8181064906394</v>
      </c>
      <c r="M11" s="202">
        <f>IF(M$1&lt;=$H$56,0,[9]Sales!J3*M$2*(1+$H$55)^(M$1-$H$56-1))</f>
        <v>2048.1694252593934</v>
      </c>
      <c r="N11" s="202">
        <f>IF(N$1&lt;=$H$56,0,[9]Sales!K3*N$2*(1+$H$55)^(N$1-$H$56-1))</f>
        <v>2168.1614310382142</v>
      </c>
      <c r="O11" s="202">
        <f>IF(O$1&lt;=$H$56,0,[9]Sales!L3*O$2*(1+$H$55)^(O$1-$H$56-1))</f>
        <v>2295.1831684755884</v>
      </c>
      <c r="P11" s="202">
        <f>IF(P$1&lt;=$H$56,0,[9]Sales!M3*P$2*(1+$H$55)^(P$1-$H$56-1))</f>
        <v>2429.6464744007299</v>
      </c>
      <c r="Q11" s="202">
        <f>IF(Q$1&lt;=$H$56,0,[9]Sales!N3*Q$2*(1+$H$55)^(Q$1-$H$56-1))</f>
        <v>2571.9873131034965</v>
      </c>
      <c r="R11" s="202">
        <f>IF(R$1&lt;=$H$56,0,[9]Sales!O3*R$2*(1+$H$55)^(R$1-$H$56-1))</f>
        <v>2722.6671898416648</v>
      </c>
      <c r="S11" s="202">
        <f>IF(S$1&lt;=$H$56,0,[9]Sales!P3*S$2*(1+$H$55)^(S$1-$H$56-1))</f>
        <v>2882.1746471585388</v>
      </c>
      <c r="T11" s="202">
        <f>IF(T$1&lt;=$H$56,0,[9]Sales!Q3*T$2*(1+$H$55)^(T$1-$H$56-1))</f>
        <v>3051.026848862321</v>
      </c>
      <c r="U11" s="202">
        <f>IF(U$1&lt;=$H$56,0,[9]Sales!R3*U$2*(1+$H$55)^(U$1-$H$56-1))</f>
        <v>3229.7712568029201</v>
      </c>
      <c r="V11" s="202">
        <f>IF(V$1&lt;=$H$56,0,[9]Sales!S3*V$2*(1+$H$55)^(V$1-$H$56-1))</f>
        <v>3418.9874058827181</v>
      </c>
      <c r="W11" s="202">
        <f>IF(W$1&lt;=$H$56,0,[9]Sales!T3*W$2*(1+$H$55)^(W$1-$H$56-1))</f>
        <v>3619.2887830563573</v>
      </c>
      <c r="X11" s="202">
        <f>IF(X$1&lt;=$H$56,0,[9]Sales!U3*X$2*(1+$H$55)^(X$1-$H$56-1))</f>
        <v>3831.3248164117126</v>
      </c>
      <c r="Y11" s="202">
        <f>IF(Y$1&lt;=$H$56,0,[9]Sales!V3*Y$2*(1+$H$55)^(Y$1-$H$56-1))</f>
        <v>4055.7829807811931</v>
      </c>
      <c r="Z11" s="202">
        <f>IF(Z$1&lt;=$H$56,0,[9]Sales!W3*Z$2*(1+$H$55)^(Z$1-$H$56-1))</f>
        <v>4293.3910267102583</v>
      </c>
      <c r="AA11" s="202">
        <f>IF(AA$1&lt;=$H$56,0,[9]Sales!X3*AA$2*(1+$H$55)^(AA$1-$H$56-1))</f>
        <v>4544.9193400100785</v>
      </c>
    </row>
    <row r="12" spans="1:28">
      <c r="A12" s="52"/>
      <c r="B12" s="162" t="s">
        <v>461</v>
      </c>
      <c r="C12" s="162"/>
      <c r="D12" s="162"/>
      <c r="E12" s="162"/>
      <c r="F12" s="162"/>
      <c r="G12" s="201"/>
      <c r="H12" s="202">
        <f>IF(H$1&lt;=$H$56,0,[9]Sales!E4*H$2*(1+$H$55)^(H$1-$H$56-1))</f>
        <v>648.5918912236607</v>
      </c>
      <c r="I12" s="202">
        <f>IF(I$1&lt;=$H$56,0,[9]Sales!F4*I$2*(1+$H$55)^(I$1-$H$56-1))</f>
        <v>762.12429849407783</v>
      </c>
      <c r="J12" s="202">
        <f>IF(J$1&lt;=$H$56,0,[9]Sales!G4*J$2*(1+$H$55)^(J$1-$H$56-1))</f>
        <v>805.97693062942699</v>
      </c>
      <c r="K12" s="202">
        <f>IF(K$1&lt;=$H$56,0,[9]Sales!H4*K$2*(1+$H$55)^(K$1-$H$56-1))</f>
        <v>852.35284321784422</v>
      </c>
      <c r="L12" s="202">
        <f>IF(L$1&lt;=$H$56,0,[9]Sales!I4*L$2*(1+$H$55)^(L$1-$H$56-1))</f>
        <v>901.39722581659873</v>
      </c>
      <c r="M12" s="202">
        <f>IF(M$1&lt;=$H$56,0,[9]Sales!J4*M$2*(1+$H$55)^(M$1-$H$56-1))</f>
        <v>953.26362219008581</v>
      </c>
      <c r="N12" s="202">
        <f>IF(N$1&lt;=$H$56,0,[9]Sales!K4*N$2*(1+$H$55)^(N$1-$H$56-1))</f>
        <v>1008.1144110109032</v>
      </c>
      <c r="O12" s="202">
        <f>IF(O$1&lt;=$H$56,0,[9]Sales!L4*O$2*(1+$H$55)^(O$1-$H$56-1))</f>
        <v>1066.1213142204706</v>
      </c>
      <c r="P12" s="202">
        <f>IF(P$1&lt;=$H$56,0,[9]Sales!M4*P$2*(1+$H$55)^(P$1-$H$56-1))</f>
        <v>1127.4659346407161</v>
      </c>
      <c r="Q12" s="202">
        <f>IF(Q$1&lt;=$H$56,0,[9]Sales!N4*Q$2*(1+$H$55)^(Q$1-$H$56-1))</f>
        <v>1192.3403245199427</v>
      </c>
      <c r="R12" s="202">
        <f>IF(R$1&lt;=$H$56,0,[9]Sales!O4*R$2*(1+$H$55)^(R$1-$H$56-1))</f>
        <v>1260.9475867928199</v>
      </c>
      <c r="S12" s="202">
        <f>IF(S$1&lt;=$H$56,0,[9]Sales!P4*S$2*(1+$H$55)^(S$1-$H$56-1))</f>
        <v>1333.5025109368789</v>
      </c>
      <c r="T12" s="202">
        <f>IF(T$1&lt;=$H$56,0,[9]Sales!Q4*T$2*(1+$H$55)^(T$1-$H$56-1))</f>
        <v>1410.2322454161865</v>
      </c>
      <c r="U12" s="202">
        <f>IF(U$1&lt;=$H$56,0,[9]Sales!R4*U$2*(1+$H$55)^(U$1-$H$56-1))</f>
        <v>1491.3770088174342</v>
      </c>
      <c r="V12" s="202">
        <f>IF(V$1&lt;=$H$56,0,[9]Sales!S4*V$2*(1+$H$55)^(V$1-$H$56-1))</f>
        <v>1577.1908419047888</v>
      </c>
      <c r="W12" s="202">
        <f>IF(W$1&lt;=$H$56,0,[9]Sales!T4*W$2*(1+$H$55)^(W$1-$H$56-1))</f>
        <v>1667.9424029479906</v>
      </c>
      <c r="X12" s="202">
        <f>IF(X$1&lt;=$H$56,0,[9]Sales!U4*X$2*(1+$H$55)^(X$1-$H$56-1))</f>
        <v>1763.9158088136171</v>
      </c>
      <c r="Y12" s="202">
        <f>IF(Y$1&lt;=$H$56,0,[9]Sales!V4*Y$2*(1+$H$55)^(Y$1-$H$56-1))</f>
        <v>1865.4115244527527</v>
      </c>
      <c r="Z12" s="202">
        <f>IF(Z$1&lt;=$H$56,0,[9]Sales!W4*Z$2*(1+$H$55)^(Z$1-$H$56-1))</f>
        <v>1972.7473035697635</v>
      </c>
      <c r="AA12" s="202">
        <f>IF(AA$1&lt;=$H$56,0,[9]Sales!X4*AA$2*(1+$H$55)^(AA$1-$H$56-1))</f>
        <v>2086.2591834171676</v>
      </c>
    </row>
    <row r="13" spans="1:28">
      <c r="A13" s="194">
        <v>5</v>
      </c>
      <c r="B13" s="195" t="s">
        <v>107</v>
      </c>
      <c r="C13" s="195"/>
      <c r="D13" s="195"/>
      <c r="E13" s="195"/>
      <c r="F13" s="195"/>
      <c r="G13" s="207"/>
      <c r="H13" s="183"/>
      <c r="I13" s="183"/>
      <c r="J13" s="183"/>
      <c r="K13" s="183"/>
      <c r="L13" s="183"/>
      <c r="M13" s="183"/>
      <c r="N13" s="183"/>
      <c r="O13" s="183"/>
      <c r="P13" s="183"/>
      <c r="Q13" s="183"/>
      <c r="R13" s="539"/>
      <c r="S13" s="186"/>
      <c r="T13" s="186"/>
      <c r="U13" s="186"/>
      <c r="V13" s="186"/>
      <c r="W13" s="186"/>
      <c r="X13" s="186"/>
      <c r="Y13" s="186"/>
      <c r="Z13" s="186"/>
      <c r="AA13" s="540"/>
    </row>
    <row r="14" spans="1:28">
      <c r="A14" s="52"/>
      <c r="B14" s="17" t="s">
        <v>468</v>
      </c>
      <c r="C14" s="17"/>
      <c r="D14" s="17"/>
      <c r="E14" s="17"/>
      <c r="F14" s="17"/>
      <c r="G14" s="208">
        <f>J14/$J$19</f>
        <v>0.81438985176832945</v>
      </c>
      <c r="H14" s="202">
        <f>IF(H$1&lt;=$H$56,0,'Opex Phenol'!D4*H$2*(1+$H$55)^(H$1-$H$56-1))</f>
        <v>1208.4839999999999</v>
      </c>
      <c r="I14" s="202">
        <f>IF(I$1&lt;=$H$56,0,'Opex Phenol'!E4*I$2*(1+$H$55)^(I$1-$H$56-1))</f>
        <v>1420.0224103999999</v>
      </c>
      <c r="J14" s="202">
        <f>IF(J$1&lt;=$H$56,0,'Opex Phenol'!F4*J$2*(1+$H$55)^(J$1-$H$56-1))</f>
        <v>1501.7304998944157</v>
      </c>
      <c r="K14" s="202">
        <f>IF(K$1&lt;=$H$56,0,'Opex Phenol'!G4*K$2*(1+$H$55)^(K$1-$H$56-1))</f>
        <v>1588.1400728583405</v>
      </c>
      <c r="L14" s="202">
        <f>IF(L$1&lt;=$H$56,0,'Opex Phenol'!H4*L$2*(1+$H$55)^(L$1-$H$56-1))</f>
        <v>1679.5216526506088</v>
      </c>
      <c r="M14" s="202">
        <f>IF(M$1&lt;=$H$56,0,'Opex Phenol'!I4*M$2*(1+$H$55)^(M$1-$H$56-1))</f>
        <v>1776.1613285441249</v>
      </c>
      <c r="N14" s="202">
        <f>IF(N$1&lt;=$H$56,0,'Opex Phenol'!J4*N$2*(1+$H$55)^(N$1-$H$56-1))</f>
        <v>1878.3616513885534</v>
      </c>
      <c r="O14" s="202">
        <f>IF(O$1&lt;=$H$56,0,'Opex Phenol'!K4*O$2*(1+$H$55)^(O$1-$H$56-1))</f>
        <v>1986.4425808094511</v>
      </c>
      <c r="P14" s="202">
        <f>IF(P$1&lt;=$H$56,0,'Opex Phenol'!L4*P$2*(1+$H$55)^(P$1-$H$56-1))</f>
        <v>2100.742486909226</v>
      </c>
      <c r="Q14" s="202">
        <f>IF(Q$1&lt;=$H$56,0,'Opex Phenol'!M4*Q$2*(1+$H$55)^(Q$1-$H$56-1))</f>
        <v>2221.6192096059831</v>
      </c>
      <c r="R14" s="202">
        <f>IF(R$1&lt;=$H$56,0,'Opex Phenol'!N4*R$2*(1+$H$55)^(R$1-$H$56-1))</f>
        <v>2349.4511789267108</v>
      </c>
      <c r="S14" s="202">
        <f>IF(S$1&lt;=$H$56,0,'Opex Phenol'!O4*S$2*(1+$H$55)^(S$1-$H$56-1))</f>
        <v>2484.6385997621537</v>
      </c>
      <c r="T14" s="202">
        <f>IF(T$1&lt;=$H$56,0,'Opex Phenol'!P4*T$2*(1+$H$55)^(T$1-$H$56-1))</f>
        <v>2627.6047047924676</v>
      </c>
      <c r="U14" s="202">
        <f>IF(U$1&lt;=$H$56,0,'Opex Phenol'!Q4*U$2*(1+$H$55)^(U$1-$H$56-1))</f>
        <v>2778.7970795062265</v>
      </c>
      <c r="V14" s="202">
        <f>IF(V$1&lt;=$H$56,0,'Opex Phenol'!R4*V$2*(1+$H$55)^(V$1-$H$56-1))</f>
        <v>2938.689063461014</v>
      </c>
      <c r="W14" s="202">
        <f>IF(W$1&lt;=$H$56,0,'Opex Phenol'!S4*W$2*(1+$H$55)^(W$1-$H$56-1))</f>
        <v>3107.781232172561</v>
      </c>
      <c r="X14" s="202">
        <f>IF(X$1&lt;=$H$56,0,'Opex Phenol'!T4*X$2*(1+$H$55)^(X$1-$H$56-1))</f>
        <v>3286.6029642717685</v>
      </c>
      <c r="Y14" s="202">
        <f>IF(Y$1&lt;=$H$56,0,'Opex Phenol'!U4*Y$2*(1+$H$55)^(Y$1-$H$56-1))</f>
        <v>3475.7140988359661</v>
      </c>
      <c r="Z14" s="202">
        <f>IF(Z$1&lt;=$H$56,0,'Opex Phenol'!V4*Z$2*(1+$H$55)^(Z$1-$H$56-1))</f>
        <v>3675.7066880829871</v>
      </c>
      <c r="AA14" s="202">
        <f>IF(AA$1&lt;=$H$56,0,'Opex Phenol'!W4*AA$2*(1+$H$55)^(AA$1-$H$56-1))</f>
        <v>3887.2068509152818</v>
      </c>
    </row>
    <row r="15" spans="1:28">
      <c r="A15" s="52"/>
      <c r="B15" s="17" t="s">
        <v>29</v>
      </c>
      <c r="C15" s="17"/>
      <c r="D15" s="17"/>
      <c r="E15" s="17"/>
      <c r="F15" s="17"/>
      <c r="G15" s="208">
        <f>J15/$J$19</f>
        <v>1.3324638977264124E-2</v>
      </c>
      <c r="H15" s="202">
        <f>IF(H$1&lt;=$H$56,0,'Opex Phenol'!$D$7*(1+$H$55)^(H$1-$H$56-1))</f>
        <v>22.5</v>
      </c>
      <c r="I15" s="202">
        <f>IF(I$1&lt;=$H$56,0,'Opex Phenol'!$D$7*(1+$H$55)^(I$1-$H$56-1))</f>
        <v>23.512499999999999</v>
      </c>
      <c r="J15" s="202">
        <f>IF(J$1&lt;=$H$56,0,'Opex Phenol'!$D$7*(1+$H$55)^(J$1-$H$56-1))</f>
        <v>24.570562499999994</v>
      </c>
      <c r="K15" s="202">
        <f>IF(K$1&lt;=$H$56,0,'Opex Phenol'!$D$7*(1+$H$55)^(K$1-$H$56-1))</f>
        <v>25.676237812499995</v>
      </c>
      <c r="L15" s="202">
        <f>IF(L$1&lt;=$H$56,0,'Opex Phenol'!$D$7*(1+$H$55)^(L$1-$H$56-1))</f>
        <v>26.831668514062489</v>
      </c>
      <c r="M15" s="202">
        <f>IF(M$1&lt;=$H$56,0,'Opex Phenol'!$D$7*(1+$H$55)^(M$1-$H$56-1))</f>
        <v>28.039093597195301</v>
      </c>
      <c r="N15" s="202">
        <f>IF(N$1&lt;=$H$56,0,'Opex Phenol'!$D$7*(1+$H$55)^(N$1-$H$56-1))</f>
        <v>29.300852809069081</v>
      </c>
      <c r="O15" s="202">
        <f>IF(O$1&lt;=$H$56,0,'Opex Phenol'!$D$7*(1+$H$55)^(O$1-$H$56-1))</f>
        <v>30.619391185477191</v>
      </c>
      <c r="P15" s="202">
        <f>IF(P$1&lt;=$H$56,0,'Opex Phenol'!$D$7*(1+$H$55)^(P$1-$H$56-1))</f>
        <v>31.997263788823656</v>
      </c>
      <c r="Q15" s="202">
        <f>IF(Q$1&lt;=$H$56,0,'Opex Phenol'!$D$7*(1+$H$55)^(Q$1-$H$56-1))</f>
        <v>33.437140659320718</v>
      </c>
      <c r="R15" s="202">
        <f>IF(R$1&lt;=$H$56,0,'Opex Phenol'!$D$7*(1+$H$55)^(R$1-$H$56-1))</f>
        <v>34.941811988990146</v>
      </c>
      <c r="S15" s="202">
        <f>IF(S$1&lt;=$H$56,0,'Opex Phenol'!$D$7*(1+$H$55)^(S$1-$H$56-1))</f>
        <v>36.514193528494701</v>
      </c>
      <c r="T15" s="202">
        <f>IF(T$1&lt;=$H$56,0,'Opex Phenol'!$D$7*(1+$H$55)^(T$1-$H$56-1))</f>
        <v>38.157332237276954</v>
      </c>
      <c r="U15" s="202">
        <f>IF(U$1&lt;=$H$56,0,'Opex Phenol'!$D$7*(1+$H$55)^(U$1-$H$56-1))</f>
        <v>39.87441218795442</v>
      </c>
      <c r="V15" s="202">
        <f>IF(V$1&lt;=$H$56,0,'Opex Phenol'!$D$7*(1+$H$55)^(V$1-$H$56-1))</f>
        <v>41.668760736412359</v>
      </c>
      <c r="W15" s="202">
        <f>IF(W$1&lt;=$H$56,0,'Opex Phenol'!$D$7*(1+$H$55)^(W$1-$H$56-1))</f>
        <v>43.543854969550921</v>
      </c>
      <c r="X15" s="202">
        <f>IF(X$1&lt;=$H$56,0,'Opex Phenol'!$D$7*(1+$H$55)^(X$1-$H$56-1))</f>
        <v>45.503328443180692</v>
      </c>
      <c r="Y15" s="202">
        <f>IF(Y$1&lt;=$H$56,0,'Opex Phenol'!$D$7*(1+$H$55)^(Y$1-$H$56-1))</f>
        <v>47.55097822312382</v>
      </c>
      <c r="Z15" s="202">
        <f>IF(Z$1&lt;=$H$56,0,'Opex Phenol'!$D$7*(1+$H$55)^(Z$1-$H$56-1))</f>
        <v>49.690772243164382</v>
      </c>
      <c r="AA15" s="202">
        <f>IF(AA$1&lt;=$H$56,0,'Opex Phenol'!$D$7*(1+$H$55)^(AA$1-$H$56-1))</f>
        <v>51.926856994106778</v>
      </c>
    </row>
    <row r="16" spans="1:28">
      <c r="A16" s="52"/>
      <c r="B16" s="17" t="s">
        <v>17</v>
      </c>
      <c r="C16" s="17"/>
      <c r="D16" s="17"/>
      <c r="E16" s="17"/>
      <c r="F16" s="17"/>
      <c r="G16" s="208">
        <f>J16/$J$19</f>
        <v>0.11100904783502932</v>
      </c>
      <c r="H16" s="202">
        <f>IF(H$1&lt;=$H$56,0,'Opex Phenol'!$D$9*H$2*(1+$H$55)^(H$1-$H$56-1))</f>
        <v>168.70499999999998</v>
      </c>
      <c r="I16" s="202">
        <f>IF(I$1&lt;=$H$56,0,'Opex Phenol'!$D$9*I$2*(1+$H$55)^(I$1-$H$56-1))</f>
        <v>195.88524999999998</v>
      </c>
      <c r="J16" s="202">
        <f>IF(J$1&lt;=$H$56,0,'Opex Phenol'!$D$9*J$2*(1+$H$55)^(J$1-$H$56-1))</f>
        <v>204.70008624999994</v>
      </c>
      <c r="K16" s="202">
        <f>IF(K$1&lt;=$H$56,0,'Opex Phenol'!$D$9*K$2*(1+$H$55)^(K$1-$H$56-1))</f>
        <v>213.91159013124994</v>
      </c>
      <c r="L16" s="202">
        <f>IF(L$1&lt;=$H$56,0,'Opex Phenol'!$D$9*L$2*(1+$H$55)^(L$1-$H$56-1))</f>
        <v>223.53761168715613</v>
      </c>
      <c r="M16" s="202">
        <f>IF(M$1&lt;=$H$56,0,'Opex Phenol'!$D$9*M$2*(1+$H$55)^(M$1-$H$56-1))</f>
        <v>233.59680421307817</v>
      </c>
      <c r="N16" s="202">
        <f>IF(N$1&lt;=$H$56,0,'Opex Phenol'!$D$9*N$2*(1+$H$55)^(N$1-$H$56-1))</f>
        <v>244.10866040266663</v>
      </c>
      <c r="O16" s="202">
        <f>IF(O$1&lt;=$H$56,0,'Opex Phenol'!$D$9*O$2*(1+$H$55)^(O$1-$H$56-1))</f>
        <v>255.09355012078663</v>
      </c>
      <c r="P16" s="202">
        <f>IF(P$1&lt;=$H$56,0,'Opex Phenol'!$D$9*P$2*(1+$H$55)^(P$1-$H$56-1))</f>
        <v>266.57275987622194</v>
      </c>
      <c r="Q16" s="202">
        <f>IF(Q$1&lt;=$H$56,0,'Opex Phenol'!$D$9*Q$2*(1+$H$55)^(Q$1-$H$56-1))</f>
        <v>278.56853407065194</v>
      </c>
      <c r="R16" s="202">
        <f>IF(R$1&lt;=$H$56,0,'Opex Phenol'!$D$9*R$2*(1+$H$55)^(R$1-$H$56-1))</f>
        <v>291.10411810383118</v>
      </c>
      <c r="S16" s="202">
        <f>IF(S$1&lt;=$H$56,0,'Opex Phenol'!$D$9*S$2*(1+$H$55)^(S$1-$H$56-1))</f>
        <v>304.20380341850364</v>
      </c>
      <c r="T16" s="202">
        <f>IF(T$1&lt;=$H$56,0,'Opex Phenol'!$D$9*T$2*(1+$H$55)^(T$1-$H$56-1))</f>
        <v>317.89297457233619</v>
      </c>
      <c r="U16" s="202">
        <f>IF(U$1&lt;=$H$56,0,'Opex Phenol'!$D$9*U$2*(1+$H$55)^(U$1-$H$56-1))</f>
        <v>332.19815842809135</v>
      </c>
      <c r="V16" s="202">
        <f>IF(V$1&lt;=$H$56,0,'Opex Phenol'!$D$9*V$2*(1+$H$55)^(V$1-$H$56-1))</f>
        <v>347.14707555735538</v>
      </c>
      <c r="W16" s="202">
        <f>IF(W$1&lt;=$H$56,0,'Opex Phenol'!$D$9*W$2*(1+$H$55)^(W$1-$H$56-1))</f>
        <v>362.76869395743643</v>
      </c>
      <c r="X16" s="202">
        <f>IF(X$1&lt;=$H$56,0,'Opex Phenol'!$D$9*X$2*(1+$H$55)^(X$1-$H$56-1))</f>
        <v>379.09328518552087</v>
      </c>
      <c r="Y16" s="202">
        <f>IF(Y$1&lt;=$H$56,0,'Opex Phenol'!$D$9*Y$2*(1+$H$55)^(Y$1-$H$56-1))</f>
        <v>396.15248301886936</v>
      </c>
      <c r="Z16" s="202">
        <f>IF(Z$1&lt;=$H$56,0,'Opex Phenol'!$D$9*Z$2*(1+$H$55)^(Z$1-$H$56-1))</f>
        <v>413.9793447547184</v>
      </c>
      <c r="AA16" s="202">
        <f>IF(AA$1&lt;=$H$56,0,'Opex Phenol'!$D$9*AA$2*(1+$H$55)^(AA$1-$H$56-1))</f>
        <v>432.60841526868069</v>
      </c>
      <c r="AB16" s="202"/>
    </row>
    <row r="17" spans="1:27">
      <c r="A17" s="52"/>
      <c r="B17" s="17" t="s">
        <v>20</v>
      </c>
      <c r="C17" s="17"/>
      <c r="D17" s="17"/>
      <c r="E17" s="17"/>
      <c r="F17" s="17"/>
      <c r="G17" s="208">
        <f>J17/$J$19</f>
        <v>1.6991283520718829E-2</v>
      </c>
      <c r="H17" s="202">
        <f>IF(H$1&lt;=$H$56,0,'Opex Phenol'!$D$12*H$2*(1+$H$55)^(H$1-$H$56-1))</f>
        <v>25.82235</v>
      </c>
      <c r="I17" s="202">
        <f>IF(I$1&lt;=$H$56,0,'Opex Phenol'!$D$12*I$2*(1+$H$55)^(I$1-$H$56-1))</f>
        <v>29.9826175</v>
      </c>
      <c r="J17" s="202">
        <f>IF(J$1&lt;=$H$56,0,'Opex Phenol'!$D$12*J$2*(1+$H$55)^(J$1-$H$56-1))</f>
        <v>31.331835287499995</v>
      </c>
      <c r="K17" s="202">
        <f>IF(K$1&lt;=$H$56,0,'Opex Phenol'!$D$12*K$2*(1+$H$55)^(K$1-$H$56-1))</f>
        <v>32.741767875437496</v>
      </c>
      <c r="L17" s="202">
        <f>IF(L$1&lt;=$H$56,0,'Opex Phenol'!$D$12*L$2*(1+$H$55)^(L$1-$H$56-1))</f>
        <v>34.215147429832172</v>
      </c>
      <c r="M17" s="202">
        <f>IF(M$1&lt;=$H$56,0,'Opex Phenol'!$D$12*M$2*(1+$H$55)^(M$1-$H$56-1))</f>
        <v>35.754829064174622</v>
      </c>
      <c r="N17" s="202">
        <f>IF(N$1&lt;=$H$56,0,'Opex Phenol'!$D$12*N$2*(1+$H$55)^(N$1-$H$56-1))</f>
        <v>37.363796372062474</v>
      </c>
      <c r="O17" s="202">
        <f>IF(O$1&lt;=$H$56,0,'Opex Phenol'!$D$12*O$2*(1+$H$55)^(O$1-$H$56-1))</f>
        <v>39.045167208805282</v>
      </c>
      <c r="P17" s="202">
        <f>IF(P$1&lt;=$H$56,0,'Opex Phenol'!$D$12*P$2*(1+$H$55)^(P$1-$H$56-1))</f>
        <v>40.802199733201512</v>
      </c>
      <c r="Q17" s="202">
        <f>IF(Q$1&lt;=$H$56,0,'Opex Phenol'!$D$12*Q$2*(1+$H$55)^(Q$1-$H$56-1))</f>
        <v>42.638298721195575</v>
      </c>
      <c r="R17" s="202">
        <f>IF(R$1&lt;=$H$56,0,'Opex Phenol'!$D$12*R$2*(1+$H$55)^(R$1-$H$56-1))</f>
        <v>44.557022163649371</v>
      </c>
      <c r="S17" s="202">
        <f>IF(S$1&lt;=$H$56,0,'Opex Phenol'!$D$12*S$2*(1+$H$55)^(S$1-$H$56-1))</f>
        <v>46.562088161013591</v>
      </c>
      <c r="T17" s="202">
        <f>IF(T$1&lt;=$H$56,0,'Opex Phenol'!$D$12*T$2*(1+$H$55)^(T$1-$H$56-1))</f>
        <v>48.657382128259194</v>
      </c>
      <c r="U17" s="202">
        <f>IF(U$1&lt;=$H$56,0,'Opex Phenol'!$D$12*U$2*(1+$H$55)^(U$1-$H$56-1))</f>
        <v>50.846964324030857</v>
      </c>
      <c r="V17" s="202">
        <f>IF(V$1&lt;=$H$56,0,'Opex Phenol'!$D$12*V$2*(1+$H$55)^(V$1-$H$56-1))</f>
        <v>53.13507771861223</v>
      </c>
      <c r="W17" s="202">
        <f>IF(W$1&lt;=$H$56,0,'Opex Phenol'!$D$12*W$2*(1+$H$55)^(W$1-$H$56-1))</f>
        <v>55.52615621594979</v>
      </c>
      <c r="X17" s="202">
        <f>IF(X$1&lt;=$H$56,0,'Opex Phenol'!$D$12*X$2*(1+$H$55)^(X$1-$H$56-1))</f>
        <v>58.024833245667502</v>
      </c>
      <c r="Y17" s="202">
        <f>IF(Y$1&lt;=$H$56,0,'Opex Phenol'!$D$12*Y$2*(1+$H$55)^(Y$1-$H$56-1))</f>
        <v>60.635950741722546</v>
      </c>
      <c r="Z17" s="202">
        <f>IF(Z$1&lt;=$H$56,0,'Opex Phenol'!$D$12*Z$2*(1+$H$55)^(Z$1-$H$56-1))</f>
        <v>63.364568525100047</v>
      </c>
      <c r="AA17" s="202">
        <f>IF(AA$1&lt;=$H$56,0,'Opex Phenol'!$D$12*AA$2*(1+$H$55)^(AA$1-$H$56-1))</f>
        <v>66.21597410872954</v>
      </c>
    </row>
    <row r="18" spans="1:27">
      <c r="A18" s="52"/>
      <c r="B18" s="17" t="s">
        <v>21</v>
      </c>
      <c r="C18" s="17"/>
      <c r="D18" s="17"/>
      <c r="E18" s="17"/>
      <c r="F18" s="17"/>
      <c r="G18" s="208">
        <f>J18/$J$19</f>
        <v>4.4285177898658282E-2</v>
      </c>
      <c r="H18" s="202">
        <f>IF(H$1&lt;=$H$56,0,'Opex Phenol'!$D$15*H$2*(1+$H$55)^(H$1-$H$56-1))</f>
        <v>67.302000000000007</v>
      </c>
      <c r="I18" s="202">
        <f>IF(I$1&lt;=$H$56,0,'Opex Phenol'!$D$15*I$2*(1+$H$55)^(I$1-$H$56-1))</f>
        <v>78.145099999999999</v>
      </c>
      <c r="J18" s="202">
        <f>IF(J$1&lt;=$H$56,0,'Opex Phenol'!$D$15*J$2*(1+$H$55)^(J$1-$H$56-1))</f>
        <v>81.661629499999989</v>
      </c>
      <c r="K18" s="202">
        <f>IF(K$1&lt;=$H$56,0,'Opex Phenol'!$D$15*K$2*(1+$H$55)^(K$1-$H$56-1))</f>
        <v>85.336402827499981</v>
      </c>
      <c r="L18" s="202">
        <f>IF(L$1&lt;=$H$56,0,'Opex Phenol'!$D$15*L$2*(1+$H$55)^(L$1-$H$56-1))</f>
        <v>89.176540954737462</v>
      </c>
      <c r="M18" s="202">
        <f>IF(M$1&lt;=$H$56,0,'Opex Phenol'!$D$15*M$2*(1+$H$55)^(M$1-$H$56-1))</f>
        <v>93.189485297700642</v>
      </c>
      <c r="N18" s="202">
        <f>IF(N$1&lt;=$H$56,0,'Opex Phenol'!$D$15*N$2*(1+$H$55)^(N$1-$H$56-1))</f>
        <v>97.38301213609715</v>
      </c>
      <c r="O18" s="202">
        <f>IF(O$1&lt;=$H$56,0,'Opex Phenol'!$D$15*O$2*(1+$H$55)^(O$1-$H$56-1))</f>
        <v>101.76524768222153</v>
      </c>
      <c r="P18" s="202">
        <f>IF(P$1&lt;=$H$56,0,'Opex Phenol'!$D$15*P$2*(1+$H$55)^(P$1-$H$56-1))</f>
        <v>106.34468382792147</v>
      </c>
      <c r="Q18" s="202">
        <f>IF(Q$1&lt;=$H$56,0,'Opex Phenol'!$D$15*Q$2*(1+$H$55)^(Q$1-$H$56-1))</f>
        <v>111.13019460017793</v>
      </c>
      <c r="R18" s="202">
        <f>IF(R$1&lt;=$H$56,0,'Opex Phenol'!$D$15*R$2*(1+$H$55)^(R$1-$H$56-1))</f>
        <v>116.13105335718592</v>
      </c>
      <c r="S18" s="202">
        <f>IF(S$1&lt;=$H$56,0,'Opex Phenol'!$D$15*S$2*(1+$H$55)^(S$1-$H$56-1))</f>
        <v>121.35695075825929</v>
      </c>
      <c r="T18" s="202">
        <f>IF(T$1&lt;=$H$56,0,'Opex Phenol'!$D$15*T$2*(1+$H$55)^(T$1-$H$56-1))</f>
        <v>126.81801354238092</v>
      </c>
      <c r="U18" s="202">
        <f>IF(U$1&lt;=$H$56,0,'Opex Phenol'!$D$15*U$2*(1+$H$55)^(U$1-$H$56-1))</f>
        <v>132.52482415178807</v>
      </c>
      <c r="V18" s="202">
        <f>IF(V$1&lt;=$H$56,0,'Opex Phenol'!$D$15*V$2*(1+$H$55)^(V$1-$H$56-1))</f>
        <v>138.48844123861849</v>
      </c>
      <c r="W18" s="202">
        <f>IF(W$1&lt;=$H$56,0,'Opex Phenol'!$D$15*W$2*(1+$H$55)^(W$1-$H$56-1))</f>
        <v>144.72042109435634</v>
      </c>
      <c r="X18" s="202">
        <f>IF(X$1&lt;=$H$56,0,'Opex Phenol'!$D$15*X$2*(1+$H$55)^(X$1-$H$56-1))</f>
        <v>151.23284004360232</v>
      </c>
      <c r="Y18" s="202">
        <f>IF(Y$1&lt;=$H$56,0,'Opex Phenol'!$D$15*Y$2*(1+$H$55)^(Y$1-$H$56-1))</f>
        <v>158.03831784556442</v>
      </c>
      <c r="Z18" s="202">
        <f>IF(Z$1&lt;=$H$56,0,'Opex Phenol'!$D$15*Z$2*(1+$H$55)^(Z$1-$H$56-1))</f>
        <v>165.1500421486148</v>
      </c>
      <c r="AA18" s="202">
        <f>IF(AA$1&lt;=$H$56,0,'Opex Phenol'!$D$15*AA$2*(1+$H$55)^(AA$1-$H$56-1))</f>
        <v>172.58179404530244</v>
      </c>
    </row>
    <row r="19" spans="1:27" s="167" customFormat="1">
      <c r="A19" s="187"/>
      <c r="B19" s="209" t="s">
        <v>30</v>
      </c>
      <c r="C19" s="209"/>
      <c r="D19" s="209"/>
      <c r="E19" s="209"/>
      <c r="F19" s="209"/>
      <c r="G19" s="210"/>
      <c r="H19" s="192">
        <f t="shared" ref="H19:Q19" si="1">SUM(H14:H18)</f>
        <v>1492.8133499999997</v>
      </c>
      <c r="I19" s="192">
        <f t="shared" si="1"/>
        <v>1747.5478779</v>
      </c>
      <c r="J19" s="192">
        <f t="shared" si="1"/>
        <v>1843.9946134319157</v>
      </c>
      <c r="K19" s="192">
        <f t="shared" si="1"/>
        <v>1945.8060715050281</v>
      </c>
      <c r="L19" s="192">
        <f t="shared" si="1"/>
        <v>2053.2826212363971</v>
      </c>
      <c r="M19" s="192">
        <f t="shared" si="1"/>
        <v>2166.7415407162739</v>
      </c>
      <c r="N19" s="192">
        <f t="shared" si="1"/>
        <v>2286.5179731084486</v>
      </c>
      <c r="O19" s="192">
        <f t="shared" si="1"/>
        <v>2412.9659370067416</v>
      </c>
      <c r="P19" s="192">
        <f t="shared" si="1"/>
        <v>2546.4593941353946</v>
      </c>
      <c r="Q19" s="192">
        <f t="shared" si="1"/>
        <v>2687.3933776573294</v>
      </c>
      <c r="R19" s="552">
        <f t="shared" ref="R19:AA19" si="2">SUM(R14:R18)</f>
        <v>2836.1851845403676</v>
      </c>
      <c r="S19" s="192">
        <f t="shared" si="2"/>
        <v>2993.2756356284244</v>
      </c>
      <c r="T19" s="192">
        <f t="shared" si="2"/>
        <v>3159.1304072727207</v>
      </c>
      <c r="U19" s="192">
        <f t="shared" si="2"/>
        <v>3334.241438598091</v>
      </c>
      <c r="V19" s="192">
        <f t="shared" si="2"/>
        <v>3519.1284187120127</v>
      </c>
      <c r="W19" s="192">
        <f t="shared" si="2"/>
        <v>3714.3403584098546</v>
      </c>
      <c r="X19" s="192">
        <f t="shared" si="2"/>
        <v>3920.45725118974</v>
      </c>
      <c r="Y19" s="192">
        <f t="shared" si="2"/>
        <v>4138.0918286652459</v>
      </c>
      <c r="Z19" s="192">
        <f t="shared" si="2"/>
        <v>4367.8914157545842</v>
      </c>
      <c r="AA19" s="233">
        <f t="shared" si="2"/>
        <v>4610.5398913321014</v>
      </c>
    </row>
    <row r="20" spans="1:27">
      <c r="A20" s="52"/>
      <c r="B20" s="17"/>
      <c r="C20" s="17"/>
      <c r="D20" s="17"/>
      <c r="E20" s="17"/>
      <c r="F20" s="17"/>
      <c r="G20" s="201"/>
      <c r="H20" s="199"/>
      <c r="I20" s="199"/>
      <c r="J20" s="199"/>
      <c r="K20" s="199"/>
      <c r="L20" s="199"/>
      <c r="M20" s="199"/>
      <c r="N20" s="199"/>
      <c r="O20" s="199"/>
      <c r="P20" s="199"/>
      <c r="Q20" s="199"/>
      <c r="R20" s="553"/>
      <c r="AA20" s="33"/>
    </row>
    <row r="21" spans="1:27" s="167" customFormat="1">
      <c r="A21" s="203">
        <v>6</v>
      </c>
      <c r="B21" s="204" t="s">
        <v>396</v>
      </c>
      <c r="C21" s="204"/>
      <c r="D21" s="204"/>
      <c r="E21" s="204"/>
      <c r="F21" s="204"/>
      <c r="G21" s="205"/>
      <c r="H21" s="206">
        <f t="shared" ref="H21:AA21" si="3">H10-H19</f>
        <v>542.46958050937542</v>
      </c>
      <c r="I21" s="206">
        <f t="shared" si="3"/>
        <v>645.61012484104231</v>
      </c>
      <c r="J21" s="206">
        <f t="shared" si="3"/>
        <v>688.57013100778386</v>
      </c>
      <c r="K21" s="206">
        <f t="shared" si="3"/>
        <v>734.28673259516358</v>
      </c>
      <c r="L21" s="206">
        <f t="shared" si="3"/>
        <v>782.93271107084092</v>
      </c>
      <c r="M21" s="206">
        <f t="shared" si="3"/>
        <v>834.69150673320519</v>
      </c>
      <c r="N21" s="206">
        <f t="shared" si="3"/>
        <v>889.75786894066869</v>
      </c>
      <c r="O21" s="206">
        <f t="shared" si="3"/>
        <v>948.33854568931747</v>
      </c>
      <c r="P21" s="206">
        <f t="shared" si="3"/>
        <v>1010.6530149060513</v>
      </c>
      <c r="Q21" s="206">
        <f t="shared" si="3"/>
        <v>1076.9342599661095</v>
      </c>
      <c r="R21" s="554">
        <f t="shared" si="3"/>
        <v>1147.4295920941172</v>
      </c>
      <c r="S21" s="206">
        <f t="shared" si="3"/>
        <v>1222.4015224669929</v>
      </c>
      <c r="T21" s="206">
        <f t="shared" si="3"/>
        <v>1302.1286870057866</v>
      </c>
      <c r="U21" s="206">
        <f t="shared" si="3"/>
        <v>1386.9068270222633</v>
      </c>
      <c r="V21" s="206">
        <f t="shared" si="3"/>
        <v>1477.049829075494</v>
      </c>
      <c r="W21" s="206">
        <f t="shared" si="3"/>
        <v>1572.8908275944937</v>
      </c>
      <c r="X21" s="206">
        <f t="shared" si="3"/>
        <v>1674.7833740355895</v>
      </c>
      <c r="Y21" s="206">
        <f t="shared" si="3"/>
        <v>1783.1026765687002</v>
      </c>
      <c r="Z21" s="206">
        <f t="shared" si="3"/>
        <v>1898.2469145254381</v>
      </c>
      <c r="AA21" s="555">
        <f t="shared" si="3"/>
        <v>2020.6386320951451</v>
      </c>
    </row>
    <row r="22" spans="1:27">
      <c r="A22" s="52"/>
      <c r="B22" s="17" t="s">
        <v>392</v>
      </c>
      <c r="C22" s="17"/>
      <c r="D22" s="17"/>
      <c r="E22" s="17"/>
      <c r="F22" s="17"/>
      <c r="G22" s="201"/>
      <c r="H22" s="262">
        <f>H21/H10</f>
        <v>0.26653276179818902</v>
      </c>
      <c r="I22" s="262">
        <f t="shared" ref="I22:AA22" si="4">I21/I10</f>
        <v>0.26977329708342795</v>
      </c>
      <c r="J22" s="262">
        <f t="shared" si="4"/>
        <v>0.271886486819164</v>
      </c>
      <c r="K22" s="262">
        <f t="shared" si="4"/>
        <v>0.27397809936723116</v>
      </c>
      <c r="L22" s="262">
        <f t="shared" si="4"/>
        <v>0.27604840230305489</v>
      </c>
      <c r="M22" s="262">
        <f t="shared" si="4"/>
        <v>0.27809765986367713</v>
      </c>
      <c r="N22" s="262">
        <f t="shared" si="4"/>
        <v>0.28012613298933675</v>
      </c>
      <c r="O22" s="262">
        <f t="shared" si="4"/>
        <v>0.28213407936452911</v>
      </c>
      <c r="P22" s="262">
        <f t="shared" si="4"/>
        <v>0.28412175345855811</v>
      </c>
      <c r="Q22" s="262">
        <f t="shared" si="4"/>
        <v>0.28608940656558218</v>
      </c>
      <c r="R22" s="262">
        <f t="shared" si="4"/>
        <v>0.28803728684416396</v>
      </c>
      <c r="S22" s="262">
        <f t="shared" si="4"/>
        <v>0.28996563935632502</v>
      </c>
      <c r="T22" s="262">
        <f t="shared" si="4"/>
        <v>0.29187470610611826</v>
      </c>
      <c r="U22" s="262">
        <f t="shared" si="4"/>
        <v>0.29376472607771936</v>
      </c>
      <c r="V22" s="262">
        <f t="shared" si="4"/>
        <v>0.29563593527304327</v>
      </c>
      <c r="W22" s="262">
        <f t="shared" si="4"/>
        <v>0.29748856674889496</v>
      </c>
      <c r="X22" s="262">
        <f t="shared" si="4"/>
        <v>0.29932285065365588</v>
      </c>
      <c r="Y22" s="262">
        <f t="shared" si="4"/>
        <v>0.30113901426351641</v>
      </c>
      <c r="Z22" s="262">
        <f t="shared" si="4"/>
        <v>0.30293728201825526</v>
      </c>
      <c r="AA22" s="262">
        <f t="shared" si="4"/>
        <v>0.30471787555657631</v>
      </c>
    </row>
    <row r="23" spans="1:27">
      <c r="A23" s="52"/>
      <c r="B23" s="17"/>
      <c r="C23" s="17"/>
      <c r="D23" s="17"/>
      <c r="E23" s="17"/>
      <c r="F23" s="17"/>
      <c r="G23" s="201"/>
      <c r="H23" s="199"/>
      <c r="I23" s="199"/>
      <c r="J23" s="199"/>
      <c r="K23" s="199"/>
      <c r="L23" s="199"/>
      <c r="M23" s="199"/>
      <c r="N23" s="199"/>
      <c r="O23" s="199"/>
      <c r="P23" s="199"/>
      <c r="Q23" s="199"/>
      <c r="R23" s="556"/>
      <c r="S23" s="199"/>
      <c r="T23" s="199"/>
      <c r="U23" s="199"/>
      <c r="V23" s="199"/>
      <c r="W23" s="199"/>
      <c r="X23" s="199"/>
      <c r="Y23" s="199"/>
      <c r="Z23" s="199"/>
      <c r="AA23" s="557"/>
    </row>
    <row r="24" spans="1:27" s="167" customFormat="1">
      <c r="A24" s="194"/>
      <c r="B24" s="195" t="s">
        <v>32</v>
      </c>
      <c r="C24" s="182">
        <f>+C7</f>
        <v>-88.43</v>
      </c>
      <c r="D24" s="182">
        <f>+D7</f>
        <v>-442.17</v>
      </c>
      <c r="E24" s="182">
        <f>+E7</f>
        <v>-619.04</v>
      </c>
      <c r="F24" s="182">
        <f>+F7</f>
        <v>-619.04</v>
      </c>
      <c r="G24" s="196"/>
      <c r="H24" s="197">
        <f>H21+SUM(C24:F24)</f>
        <v>-1226.2104194906244</v>
      </c>
      <c r="I24" s="197">
        <f t="shared" ref="I24:AA24" si="5">I21</f>
        <v>645.61012484104231</v>
      </c>
      <c r="J24" s="197">
        <f t="shared" si="5"/>
        <v>688.57013100778386</v>
      </c>
      <c r="K24" s="197">
        <f t="shared" si="5"/>
        <v>734.28673259516358</v>
      </c>
      <c r="L24" s="197">
        <f t="shared" si="5"/>
        <v>782.93271107084092</v>
      </c>
      <c r="M24" s="197">
        <f t="shared" si="5"/>
        <v>834.69150673320519</v>
      </c>
      <c r="N24" s="197">
        <f t="shared" si="5"/>
        <v>889.75786894066869</v>
      </c>
      <c r="O24" s="197">
        <f t="shared" si="5"/>
        <v>948.33854568931747</v>
      </c>
      <c r="P24" s="197">
        <f t="shared" si="5"/>
        <v>1010.6530149060513</v>
      </c>
      <c r="Q24" s="197">
        <f t="shared" si="5"/>
        <v>1076.9342599661095</v>
      </c>
      <c r="R24" s="550">
        <f t="shared" si="5"/>
        <v>1147.4295920941172</v>
      </c>
      <c r="S24" s="197">
        <f t="shared" si="5"/>
        <v>1222.4015224669929</v>
      </c>
      <c r="T24" s="197">
        <f t="shared" si="5"/>
        <v>1302.1286870057866</v>
      </c>
      <c r="U24" s="197">
        <f t="shared" si="5"/>
        <v>1386.9068270222633</v>
      </c>
      <c r="V24" s="197">
        <f t="shared" si="5"/>
        <v>1477.049829075494</v>
      </c>
      <c r="W24" s="197">
        <f t="shared" si="5"/>
        <v>1572.8908275944937</v>
      </c>
      <c r="X24" s="197">
        <f t="shared" si="5"/>
        <v>1674.7833740355895</v>
      </c>
      <c r="Y24" s="197">
        <f t="shared" si="5"/>
        <v>1783.1026765687002</v>
      </c>
      <c r="Z24" s="197">
        <f t="shared" si="5"/>
        <v>1898.2469145254381</v>
      </c>
      <c r="AA24" s="551">
        <f t="shared" si="5"/>
        <v>2020.6386320951451</v>
      </c>
    </row>
    <row r="25" spans="1:27">
      <c r="A25" s="52"/>
      <c r="B25" s="17"/>
      <c r="C25" s="17"/>
      <c r="D25" s="17"/>
      <c r="E25" s="17"/>
      <c r="F25" s="17"/>
      <c r="G25" s="201"/>
      <c r="H25" s="199"/>
      <c r="I25" s="199"/>
      <c r="J25" s="199"/>
      <c r="K25" s="199"/>
      <c r="L25" s="199"/>
      <c r="M25" s="199"/>
      <c r="N25" s="199"/>
      <c r="O25" s="199"/>
      <c r="P25" s="199"/>
      <c r="Q25" s="199"/>
      <c r="R25" s="556"/>
      <c r="S25" s="199"/>
      <c r="T25" s="199"/>
      <c r="U25" s="199"/>
      <c r="V25" s="199"/>
      <c r="W25" s="199"/>
      <c r="X25" s="199"/>
      <c r="Y25" s="199"/>
      <c r="Z25" s="199"/>
      <c r="AA25" s="557"/>
    </row>
    <row r="26" spans="1:27">
      <c r="A26" s="52"/>
      <c r="B26" s="17" t="s">
        <v>33</v>
      </c>
      <c r="C26" s="17"/>
      <c r="D26" s="17"/>
      <c r="E26" s="17"/>
      <c r="F26" s="17"/>
      <c r="G26" s="201">
        <v>1</v>
      </c>
      <c r="H26" s="199">
        <f>G26/(1+0.1)</f>
        <v>0.90909090909090906</v>
      </c>
      <c r="I26" s="199">
        <f>H26/(1+0.1)</f>
        <v>0.82644628099173545</v>
      </c>
      <c r="J26" s="199">
        <f t="shared" ref="J26:AA26" si="6">I26/(1+0.1)</f>
        <v>0.75131480090157765</v>
      </c>
      <c r="K26" s="199">
        <f t="shared" si="6"/>
        <v>0.68301345536507052</v>
      </c>
      <c r="L26" s="199">
        <f t="shared" si="6"/>
        <v>0.62092132305915493</v>
      </c>
      <c r="M26" s="199">
        <f t="shared" si="6"/>
        <v>0.56447393005377711</v>
      </c>
      <c r="N26" s="199">
        <f t="shared" si="6"/>
        <v>0.51315811823070645</v>
      </c>
      <c r="O26" s="199">
        <f t="shared" si="6"/>
        <v>0.46650738020973309</v>
      </c>
      <c r="P26" s="199">
        <f t="shared" si="6"/>
        <v>0.42409761837248461</v>
      </c>
      <c r="Q26" s="199">
        <f t="shared" si="6"/>
        <v>0.38554328942953142</v>
      </c>
      <c r="R26" s="556">
        <f t="shared" si="6"/>
        <v>0.35049389948139215</v>
      </c>
      <c r="S26" s="199">
        <f t="shared" si="6"/>
        <v>0.31863081771035645</v>
      </c>
      <c r="T26" s="199">
        <f t="shared" si="6"/>
        <v>0.28966437973668768</v>
      </c>
      <c r="U26" s="199">
        <f t="shared" si="6"/>
        <v>0.26333125430607968</v>
      </c>
      <c r="V26" s="199">
        <f t="shared" si="6"/>
        <v>0.23939204936916333</v>
      </c>
      <c r="W26" s="199">
        <f t="shared" si="6"/>
        <v>0.21762913579014848</v>
      </c>
      <c r="X26" s="199">
        <f t="shared" si="6"/>
        <v>0.19784466890013497</v>
      </c>
      <c r="Y26" s="199">
        <f t="shared" si="6"/>
        <v>0.17985878990921358</v>
      </c>
      <c r="Z26" s="199">
        <f t="shared" si="6"/>
        <v>0.16350799082655779</v>
      </c>
      <c r="AA26" s="557">
        <f t="shared" si="6"/>
        <v>0.14864362802414344</v>
      </c>
    </row>
    <row r="27" spans="1:27">
      <c r="A27" s="52"/>
      <c r="B27" s="17" t="s">
        <v>34</v>
      </c>
      <c r="C27" s="558"/>
      <c r="D27" s="558"/>
      <c r="E27" s="558"/>
      <c r="F27" s="558"/>
      <c r="G27" s="211"/>
      <c r="H27" s="202">
        <f>H24*H26</f>
        <v>-1114.7367449914766</v>
      </c>
      <c r="I27" s="202">
        <f t="shared" ref="I27:AA27" si="7">I24*I26</f>
        <v>533.56208664548944</v>
      </c>
      <c r="J27" s="202">
        <f t="shared" si="7"/>
        <v>517.33293088488642</v>
      </c>
      <c r="K27" s="202">
        <f t="shared" si="7"/>
        <v>501.52771845855023</v>
      </c>
      <c r="L27" s="202">
        <f t="shared" si="7"/>
        <v>486.1396148243976</v>
      </c>
      <c r="M27" s="202">
        <f t="shared" si="7"/>
        <v>471.16159518820109</v>
      </c>
      <c r="N27" s="202">
        <f t="shared" si="7"/>
        <v>456.58647370655706</v>
      </c>
      <c r="O27" s="202">
        <f t="shared" si="7"/>
        <v>442.40693050143176</v>
      </c>
      <c r="P27" s="202">
        <f t="shared" si="7"/>
        <v>428.61553662262759</v>
      </c>
      <c r="Q27" s="202">
        <f t="shared" si="7"/>
        <v>415.20477708669199</v>
      </c>
      <c r="R27" s="559">
        <f t="shared" si="7"/>
        <v>402.16707211341031</v>
      </c>
      <c r="S27" s="202">
        <f t="shared" si="7"/>
        <v>389.49479667404262</v>
      </c>
      <c r="T27" s="202">
        <f t="shared" si="7"/>
        <v>377.18029845887872</v>
      </c>
      <c r="U27" s="202">
        <f t="shared" si="7"/>
        <v>365.2159143654377</v>
      </c>
      <c r="V27" s="202">
        <f t="shared" si="7"/>
        <v>353.59398560275491</v>
      </c>
      <c r="W27" s="202">
        <f t="shared" si="7"/>
        <v>342.30687150164107</v>
      </c>
      <c r="X27" s="202">
        <f t="shared" si="7"/>
        <v>331.3469621155221</v>
      </c>
      <c r="Y27" s="202">
        <f t="shared" si="7"/>
        <v>320.70668969152626</v>
      </c>
      <c r="Z27" s="202">
        <f t="shared" si="7"/>
        <v>310.37853908676698</v>
      </c>
      <c r="AA27" s="560">
        <f t="shared" si="7"/>
        <v>300.3550572003648</v>
      </c>
    </row>
    <row r="28" spans="1:27">
      <c r="A28" s="52"/>
      <c r="B28" s="17" t="s">
        <v>35</v>
      </c>
      <c r="C28" s="17"/>
      <c r="D28" s="17"/>
      <c r="E28" s="17"/>
      <c r="F28" s="17"/>
      <c r="G28" s="211"/>
      <c r="H28" s="202">
        <f>H24</f>
        <v>-1226.2104194906244</v>
      </c>
      <c r="I28" s="202">
        <f t="shared" ref="I28:AA28" si="8">I24</f>
        <v>645.61012484104231</v>
      </c>
      <c r="J28" s="202">
        <f t="shared" si="8"/>
        <v>688.57013100778386</v>
      </c>
      <c r="K28" s="202">
        <f>K24</f>
        <v>734.28673259516358</v>
      </c>
      <c r="L28" s="202">
        <f t="shared" si="8"/>
        <v>782.93271107084092</v>
      </c>
      <c r="M28" s="202">
        <f t="shared" si="8"/>
        <v>834.69150673320519</v>
      </c>
      <c r="N28" s="202">
        <f t="shared" si="8"/>
        <v>889.75786894066869</v>
      </c>
      <c r="O28" s="202">
        <f t="shared" si="8"/>
        <v>948.33854568931747</v>
      </c>
      <c r="P28" s="202">
        <f t="shared" si="8"/>
        <v>1010.6530149060513</v>
      </c>
      <c r="Q28" s="202">
        <f t="shared" si="8"/>
        <v>1076.9342599661095</v>
      </c>
      <c r="R28" s="559">
        <f t="shared" si="8"/>
        <v>1147.4295920941172</v>
      </c>
      <c r="S28" s="202">
        <f t="shared" si="8"/>
        <v>1222.4015224669929</v>
      </c>
      <c r="T28" s="202">
        <f t="shared" si="8"/>
        <v>1302.1286870057866</v>
      </c>
      <c r="U28" s="202">
        <f t="shared" si="8"/>
        <v>1386.9068270222633</v>
      </c>
      <c r="V28" s="202">
        <f t="shared" si="8"/>
        <v>1477.049829075494</v>
      </c>
      <c r="W28" s="202">
        <f t="shared" si="8"/>
        <v>1572.8908275944937</v>
      </c>
      <c r="X28" s="202">
        <f t="shared" si="8"/>
        <v>1674.7833740355895</v>
      </c>
      <c r="Y28" s="202">
        <f t="shared" si="8"/>
        <v>1783.1026765687002</v>
      </c>
      <c r="Z28" s="202">
        <f t="shared" si="8"/>
        <v>1898.2469145254381</v>
      </c>
      <c r="AA28" s="560">
        <f t="shared" si="8"/>
        <v>2020.6386320951451</v>
      </c>
    </row>
    <row r="29" spans="1:27">
      <c r="A29" s="53"/>
      <c r="B29" s="55" t="s">
        <v>448</v>
      </c>
      <c r="C29" s="55"/>
      <c r="D29" s="55"/>
      <c r="E29" s="55"/>
      <c r="F29" s="55"/>
      <c r="G29" s="212"/>
      <c r="H29" s="213">
        <f>G28+H24</f>
        <v>-1226.2104194906244</v>
      </c>
      <c r="I29" s="213">
        <f>H29+I24</f>
        <v>-580.60029464958211</v>
      </c>
      <c r="J29" s="213">
        <f t="shared" ref="J29:AA29" si="9">I29+J24</f>
        <v>107.96983635820175</v>
      </c>
      <c r="K29" s="213">
        <f>J29+K24</f>
        <v>842.25656895336533</v>
      </c>
      <c r="L29" s="213">
        <f t="shared" si="9"/>
        <v>1625.1892800242063</v>
      </c>
      <c r="M29" s="213">
        <f t="shared" si="9"/>
        <v>2459.8807867574114</v>
      </c>
      <c r="N29" s="213">
        <f t="shared" si="9"/>
        <v>3349.6386556980801</v>
      </c>
      <c r="O29" s="213">
        <f t="shared" si="9"/>
        <v>4297.9772013873971</v>
      </c>
      <c r="P29" s="213">
        <f t="shared" si="9"/>
        <v>5308.630216293448</v>
      </c>
      <c r="Q29" s="213">
        <f t="shared" si="9"/>
        <v>6385.5644762595575</v>
      </c>
      <c r="R29" s="561">
        <f t="shared" si="9"/>
        <v>7532.9940683536752</v>
      </c>
      <c r="S29" s="213">
        <f t="shared" si="9"/>
        <v>8755.3955908206681</v>
      </c>
      <c r="T29" s="213">
        <f t="shared" si="9"/>
        <v>10057.524277826455</v>
      </c>
      <c r="U29" s="213">
        <f t="shared" si="9"/>
        <v>11444.431104848718</v>
      </c>
      <c r="V29" s="213">
        <f t="shared" si="9"/>
        <v>12921.480933924213</v>
      </c>
      <c r="W29" s="213">
        <f t="shared" si="9"/>
        <v>14494.371761518707</v>
      </c>
      <c r="X29" s="213">
        <f t="shared" si="9"/>
        <v>16169.155135554296</v>
      </c>
      <c r="Y29" s="213">
        <f t="shared" si="9"/>
        <v>17952.257812122996</v>
      </c>
      <c r="Z29" s="213">
        <f t="shared" si="9"/>
        <v>19850.504726648433</v>
      </c>
      <c r="AA29" s="562">
        <f t="shared" si="9"/>
        <v>21871.143358743579</v>
      </c>
    </row>
    <row r="30" spans="1:27">
      <c r="A30" s="52"/>
      <c r="B30" s="17"/>
      <c r="C30" s="17"/>
      <c r="D30" s="17"/>
      <c r="E30" s="17"/>
      <c r="F30" s="17"/>
      <c r="G30" s="201"/>
      <c r="H30" s="202"/>
      <c r="I30" s="202"/>
      <c r="J30" s="202"/>
      <c r="K30" s="202"/>
      <c r="L30" s="202"/>
      <c r="M30" s="202"/>
      <c r="N30" s="202"/>
      <c r="O30" s="202"/>
      <c r="P30" s="202"/>
      <c r="Q30" s="202"/>
      <c r="R30" s="559"/>
      <c r="S30" s="202"/>
      <c r="T30" s="202"/>
      <c r="U30" s="202"/>
      <c r="V30" s="202"/>
      <c r="W30" s="202"/>
      <c r="X30" s="202"/>
      <c r="Y30" s="202"/>
      <c r="Z30" s="202"/>
      <c r="AA30" s="560"/>
    </row>
    <row r="31" spans="1:27">
      <c r="A31" s="52"/>
      <c r="B31" s="17"/>
      <c r="C31" s="17"/>
      <c r="D31" s="17"/>
      <c r="E31" s="17"/>
      <c r="F31" s="17"/>
      <c r="G31" s="201"/>
      <c r="H31" s="202"/>
      <c r="I31" s="202"/>
      <c r="J31" s="202"/>
      <c r="K31" s="202"/>
      <c r="L31" s="202"/>
      <c r="M31" s="202"/>
      <c r="N31" s="202"/>
      <c r="O31" s="202"/>
      <c r="P31" s="202"/>
      <c r="Q31" s="202"/>
      <c r="R31" s="559"/>
      <c r="S31" s="202"/>
      <c r="T31" s="202"/>
      <c r="U31" s="202"/>
      <c r="V31" s="202"/>
      <c r="W31" s="202"/>
      <c r="X31" s="202"/>
      <c r="Y31" s="202"/>
      <c r="Z31" s="202"/>
      <c r="AA31" s="560"/>
    </row>
    <row r="32" spans="1:27">
      <c r="A32" s="52"/>
      <c r="B32" s="563" t="s">
        <v>469</v>
      </c>
      <c r="C32" s="564"/>
      <c r="D32" s="564"/>
      <c r="E32" s="564"/>
      <c r="F32" s="564"/>
      <c r="G32" s="565">
        <f>NPV(10%,(H27:AA27))+G27</f>
        <v>2357.4142512310709</v>
      </c>
      <c r="H32" s="566"/>
      <c r="I32" s="199"/>
      <c r="J32" s="199"/>
      <c r="K32" s="199"/>
      <c r="L32" s="199"/>
      <c r="M32" s="199"/>
      <c r="N32" s="199"/>
      <c r="O32" s="199"/>
      <c r="P32" s="199"/>
      <c r="Q32" s="199"/>
      <c r="R32" s="556"/>
      <c r="S32" s="199"/>
      <c r="T32" s="199"/>
      <c r="U32" s="199"/>
      <c r="V32" s="199"/>
      <c r="W32" s="199"/>
      <c r="X32" s="199"/>
      <c r="Y32" s="199"/>
      <c r="Z32" s="199"/>
      <c r="AA32" s="557"/>
    </row>
    <row r="33" spans="1:27">
      <c r="A33" s="52"/>
      <c r="B33" s="567" t="s">
        <v>37</v>
      </c>
      <c r="C33" s="545"/>
      <c r="D33" s="545"/>
      <c r="E33" s="545"/>
      <c r="F33" s="545"/>
      <c r="G33" s="568">
        <f>IRR(C24:AA24,0.1)</f>
        <v>0.21867991353834437</v>
      </c>
      <c r="H33" s="557"/>
      <c r="I33" s="199"/>
      <c r="J33" s="199"/>
      <c r="K33" s="199"/>
      <c r="L33" s="199"/>
      <c r="M33" s="199"/>
      <c r="N33" s="199"/>
      <c r="O33" s="199"/>
      <c r="P33" s="199"/>
      <c r="Q33" s="199"/>
      <c r="R33" s="556"/>
      <c r="S33" s="199"/>
      <c r="T33" s="199"/>
      <c r="U33" s="199"/>
      <c r="V33" s="199"/>
      <c r="W33" s="199"/>
      <c r="X33" s="199"/>
      <c r="Y33" s="199"/>
      <c r="Z33" s="199"/>
      <c r="AA33" s="557"/>
    </row>
    <row r="34" spans="1:27">
      <c r="A34" s="52"/>
      <c r="B34" s="569" t="s">
        <v>470</v>
      </c>
      <c r="C34" s="570"/>
      <c r="D34" s="570"/>
      <c r="E34" s="570"/>
      <c r="F34" s="570"/>
      <c r="G34" s="571">
        <f>IF(SUM(H39:AA39)&lt;=25,SUM(H39:AA39)," N/A ")</f>
        <v>2.8431970376057727</v>
      </c>
      <c r="H34" s="572"/>
      <c r="I34" s="199"/>
      <c r="J34" s="199"/>
      <c r="K34" s="199"/>
      <c r="L34" s="199"/>
      <c r="M34" s="199"/>
      <c r="N34" s="199"/>
      <c r="O34" s="199"/>
      <c r="P34" s="199"/>
      <c r="Q34" s="199"/>
      <c r="R34" s="556"/>
      <c r="S34" s="199"/>
      <c r="T34" s="199"/>
      <c r="U34" s="199"/>
      <c r="V34" s="199"/>
      <c r="W34" s="199"/>
      <c r="X34" s="199"/>
      <c r="Y34" s="199"/>
      <c r="Z34" s="199"/>
      <c r="AA34" s="557"/>
    </row>
    <row r="35" spans="1:27">
      <c r="A35" s="52"/>
      <c r="B35" s="573" t="s">
        <v>471</v>
      </c>
      <c r="C35" s="574"/>
      <c r="D35" s="574"/>
      <c r="E35" s="574"/>
      <c r="F35" s="574"/>
      <c r="G35" s="571">
        <f>IF(SUM(H40:AA40)&lt;=25,SUM(H40:AA40)," N/A ")</f>
        <v>3.1222952570532834</v>
      </c>
      <c r="H35" s="575"/>
      <c r="I35" s="199"/>
      <c r="J35" s="199"/>
      <c r="K35" s="199"/>
      <c r="L35" s="199"/>
      <c r="M35" s="199"/>
      <c r="N35" s="199"/>
      <c r="O35" s="199"/>
      <c r="P35" s="199"/>
      <c r="Q35" s="199"/>
      <c r="R35" s="556"/>
      <c r="S35" s="199"/>
      <c r="T35" s="199"/>
      <c r="U35" s="199"/>
      <c r="V35" s="199"/>
      <c r="W35" s="199"/>
      <c r="X35" s="199"/>
      <c r="Y35" s="199"/>
      <c r="Z35" s="199"/>
      <c r="AA35" s="557"/>
    </row>
    <row r="36" spans="1:27">
      <c r="A36" s="2"/>
      <c r="G36" s="32"/>
      <c r="H36" s="223">
        <v>1</v>
      </c>
      <c r="I36" s="223">
        <v>2</v>
      </c>
      <c r="J36" s="223">
        <v>3</v>
      </c>
      <c r="K36" s="223">
        <v>4</v>
      </c>
      <c r="L36" s="223">
        <v>5</v>
      </c>
      <c r="M36" s="223">
        <v>6</v>
      </c>
      <c r="N36" s="223">
        <v>7</v>
      </c>
      <c r="O36" s="223">
        <v>8</v>
      </c>
      <c r="P36" s="223">
        <v>9</v>
      </c>
      <c r="Q36" s="223">
        <v>10</v>
      </c>
      <c r="R36" s="576">
        <v>11</v>
      </c>
      <c r="S36" s="223">
        <v>12</v>
      </c>
      <c r="T36" s="223">
        <v>13</v>
      </c>
      <c r="U36" s="223">
        <v>14</v>
      </c>
      <c r="V36" s="223">
        <v>15</v>
      </c>
      <c r="W36" s="223">
        <v>16</v>
      </c>
      <c r="X36" s="223">
        <v>17</v>
      </c>
      <c r="Y36" s="223">
        <v>18</v>
      </c>
      <c r="Z36" s="223">
        <v>19</v>
      </c>
      <c r="AA36" s="306">
        <v>20</v>
      </c>
    </row>
    <row r="37" spans="1:27">
      <c r="A37" s="224"/>
      <c r="B37" s="577" t="s">
        <v>402</v>
      </c>
      <c r="C37" s="225"/>
      <c r="D37" s="225"/>
      <c r="E37" s="225"/>
      <c r="F37" s="225"/>
      <c r="G37" s="578"/>
      <c r="H37" s="579">
        <f t="shared" ref="H37:AA37" si="10">IF(H29&lt;0,1,IF(H28=0,0,-G29/H28))</f>
        <v>1</v>
      </c>
      <c r="I37" s="579">
        <f t="shared" si="10"/>
        <v>1</v>
      </c>
      <c r="J37" s="579">
        <f t="shared" si="10"/>
        <v>0.84319703760577258</v>
      </c>
      <c r="K37" s="579">
        <f t="shared" si="10"/>
        <v>-0.14704042925657634</v>
      </c>
      <c r="L37" s="579">
        <f t="shared" si="10"/>
        <v>-1.07577133646822</v>
      </c>
      <c r="M37" s="579">
        <f t="shared" si="10"/>
        <v>-1.9470538119943637</v>
      </c>
      <c r="N37" s="579">
        <f t="shared" si="10"/>
        <v>-2.7646631433404525</v>
      </c>
      <c r="O37" s="579">
        <f t="shared" si="10"/>
        <v>-3.5321127364525009</v>
      </c>
      <c r="P37" s="579">
        <f t="shared" si="10"/>
        <v>-4.2526734081794926</v>
      </c>
      <c r="Q37" s="579">
        <f t="shared" si="10"/>
        <v>-4.9293911556500278</v>
      </c>
      <c r="R37" s="580">
        <f t="shared" si="10"/>
        <v>-5.565103532501352</v>
      </c>
      <c r="S37" s="579">
        <f t="shared" si="10"/>
        <v>-6.1624547498525226</v>
      </c>
      <c r="T37" s="579">
        <f t="shared" si="10"/>
        <v>-6.7239096090828694</v>
      </c>
      <c r="U37" s="579">
        <f t="shared" si="10"/>
        <v>-7.2517663637292102</v>
      </c>
      <c r="V37" s="579">
        <f t="shared" si="10"/>
        <v>-7.7481685990322653</v>
      </c>
      <c r="W37" s="579">
        <f t="shared" si="10"/>
        <v>-8.2151162097408417</v>
      </c>
      <c r="X37" s="579">
        <f t="shared" si="10"/>
        <v>-8.654475549630515</v>
      </c>
      <c r="Y37" s="579">
        <f t="shared" si="10"/>
        <v>-9.067988819729262</v>
      </c>
      <c r="Z37" s="579">
        <f t="shared" si="10"/>
        <v>-9.4572827563958199</v>
      </c>
      <c r="AA37" s="581">
        <f t="shared" si="10"/>
        <v>-9.8238766751014683</v>
      </c>
    </row>
    <row r="38" spans="1:27">
      <c r="B38" s="90" t="s">
        <v>403</v>
      </c>
      <c r="G38" s="582"/>
      <c r="H38" s="579">
        <f>IF(H29&lt;0,1,IF(H29=0,0,-G29/H27))</f>
        <v>1</v>
      </c>
      <c r="I38" s="579">
        <f t="shared" ref="I38:AA38" si="11">IF(I29&lt;0,1,IF(I29=0,0,-H29/I27))</f>
        <v>1</v>
      </c>
      <c r="J38" s="579">
        <f t="shared" si="11"/>
        <v>1.1222952570532834</v>
      </c>
      <c r="K38" s="579">
        <f t="shared" si="11"/>
        <v>-0.21528189247455348</v>
      </c>
      <c r="L38" s="579">
        <f t="shared" si="11"/>
        <v>-1.732540495095434</v>
      </c>
      <c r="M38" s="579">
        <f t="shared" si="11"/>
        <v>-3.4493245982305489</v>
      </c>
      <c r="N38" s="579">
        <f t="shared" si="11"/>
        <v>-5.3875463431672941</v>
      </c>
      <c r="O38" s="579">
        <f t="shared" si="11"/>
        <v>-7.5713973375180652</v>
      </c>
      <c r="P38" s="579">
        <f t="shared" si="11"/>
        <v>-10.027581443393942</v>
      </c>
      <c r="Q38" s="579">
        <f t="shared" si="11"/>
        <v>-12.785571142850896</v>
      </c>
      <c r="R38" s="579">
        <f t="shared" si="11"/>
        <v>-15.8778898598114</v>
      </c>
      <c r="S38" s="579">
        <f t="shared" si="11"/>
        <v>-19.340422857196291</v>
      </c>
      <c r="T38" s="579">
        <f t="shared" si="11"/>
        <v>-23.212759591617978</v>
      </c>
      <c r="U38" s="579">
        <f t="shared" si="11"/>
        <v>-27.538570698107154</v>
      </c>
      <c r="V38" s="579">
        <f t="shared" si="11"/>
        <v>-32.366023096631402</v>
      </c>
      <c r="W38" s="579">
        <f t="shared" si="11"/>
        <v>-37.748237063544501</v>
      </c>
      <c r="X38" s="579">
        <f t="shared" si="11"/>
        <v>-43.743789497805423</v>
      </c>
      <c r="Y38" s="579">
        <f t="shared" si="11"/>
        <v>-50.417268037366789</v>
      </c>
      <c r="Z38" s="579">
        <f t="shared" si="11"/>
        <v>-57.839881149464411</v>
      </c>
      <c r="AA38" s="579">
        <f t="shared" si="11"/>
        <v>-66.09012983392617</v>
      </c>
    </row>
    <row r="39" spans="1:27" ht="13.5" customHeight="1">
      <c r="B39" s="577" t="s">
        <v>402</v>
      </c>
      <c r="C39" s="163"/>
      <c r="D39" s="163"/>
      <c r="E39" s="163"/>
      <c r="F39" s="163"/>
      <c r="H39" s="223">
        <f t="shared" ref="H39:AA40" si="12">IF(H37&gt;0,H37,0)</f>
        <v>1</v>
      </c>
      <c r="I39" s="223">
        <f t="shared" si="12"/>
        <v>1</v>
      </c>
      <c r="J39" s="223">
        <f t="shared" si="12"/>
        <v>0.84319703760577258</v>
      </c>
      <c r="K39" s="223">
        <f>IF(K37&gt;0,K37,0)</f>
        <v>0</v>
      </c>
      <c r="L39" s="223">
        <f t="shared" si="12"/>
        <v>0</v>
      </c>
      <c r="M39" s="223">
        <f t="shared" si="12"/>
        <v>0</v>
      </c>
      <c r="N39" s="223">
        <f t="shared" si="12"/>
        <v>0</v>
      </c>
      <c r="O39" s="223">
        <f t="shared" si="12"/>
        <v>0</v>
      </c>
      <c r="P39" s="223">
        <f t="shared" si="12"/>
        <v>0</v>
      </c>
      <c r="Q39" s="223">
        <f t="shared" si="12"/>
        <v>0</v>
      </c>
      <c r="R39" s="576">
        <f t="shared" si="12"/>
        <v>0</v>
      </c>
      <c r="S39" s="223">
        <f t="shared" si="12"/>
        <v>0</v>
      </c>
      <c r="T39" s="223">
        <f t="shared" si="12"/>
        <v>0</v>
      </c>
      <c r="U39" s="223">
        <f t="shared" si="12"/>
        <v>0</v>
      </c>
      <c r="V39" s="223">
        <f t="shared" si="12"/>
        <v>0</v>
      </c>
      <c r="W39" s="223">
        <f t="shared" si="12"/>
        <v>0</v>
      </c>
      <c r="X39" s="223">
        <f t="shared" si="12"/>
        <v>0</v>
      </c>
      <c r="Y39" s="223">
        <f t="shared" si="12"/>
        <v>0</v>
      </c>
      <c r="Z39" s="223">
        <f>IF(Z37&gt;0,Z37,0)</f>
        <v>0</v>
      </c>
      <c r="AA39" s="306">
        <f t="shared" si="12"/>
        <v>0</v>
      </c>
    </row>
    <row r="40" spans="1:27">
      <c r="B40" s="90" t="s">
        <v>403</v>
      </c>
      <c r="C40" s="163"/>
      <c r="D40" s="163"/>
      <c r="E40" s="163"/>
      <c r="F40" s="163"/>
      <c r="H40" s="223">
        <f t="shared" si="12"/>
        <v>1</v>
      </c>
      <c r="I40" s="223">
        <f t="shared" si="12"/>
        <v>1</v>
      </c>
      <c r="J40" s="223">
        <f t="shared" si="12"/>
        <v>1.1222952570532834</v>
      </c>
      <c r="K40" s="223">
        <f t="shared" si="12"/>
        <v>0</v>
      </c>
      <c r="L40" s="223">
        <f t="shared" si="12"/>
        <v>0</v>
      </c>
      <c r="M40" s="223">
        <f t="shared" si="12"/>
        <v>0</v>
      </c>
      <c r="N40" s="223">
        <f t="shared" si="12"/>
        <v>0</v>
      </c>
      <c r="O40" s="223">
        <f t="shared" si="12"/>
        <v>0</v>
      </c>
      <c r="P40" s="223">
        <f t="shared" si="12"/>
        <v>0</v>
      </c>
      <c r="Q40" s="223">
        <f t="shared" si="12"/>
        <v>0</v>
      </c>
      <c r="R40" s="223">
        <f t="shared" si="12"/>
        <v>0</v>
      </c>
      <c r="S40" s="223">
        <f t="shared" si="12"/>
        <v>0</v>
      </c>
      <c r="T40" s="223">
        <f t="shared" si="12"/>
        <v>0</v>
      </c>
      <c r="U40" s="223">
        <f t="shared" si="12"/>
        <v>0</v>
      </c>
      <c r="V40" s="223">
        <f t="shared" si="12"/>
        <v>0</v>
      </c>
      <c r="W40" s="223">
        <f t="shared" si="12"/>
        <v>0</v>
      </c>
      <c r="X40" s="223">
        <f t="shared" si="12"/>
        <v>0</v>
      </c>
      <c r="Y40" s="223">
        <f t="shared" si="12"/>
        <v>0</v>
      </c>
      <c r="Z40" s="223">
        <f t="shared" si="12"/>
        <v>0</v>
      </c>
      <c r="AA40" s="223">
        <f t="shared" si="12"/>
        <v>0</v>
      </c>
    </row>
    <row r="42" spans="1:27">
      <c r="L42" s="226"/>
      <c r="M42" s="226"/>
      <c r="N42" s="226"/>
      <c r="O42" s="226"/>
      <c r="P42" s="226"/>
      <c r="Q42" s="226"/>
    </row>
    <row r="43" spans="1:27" ht="25.5">
      <c r="B43" s="163" t="s">
        <v>462</v>
      </c>
      <c r="L43" s="226"/>
      <c r="M43" s="226"/>
      <c r="N43" s="226"/>
      <c r="O43" s="226"/>
      <c r="P43" s="226"/>
      <c r="Q43" s="226"/>
    </row>
    <row r="44" spans="1:27">
      <c r="B44" s="163" t="s">
        <v>463</v>
      </c>
      <c r="L44" s="226"/>
      <c r="M44" s="226"/>
      <c r="N44" s="226"/>
      <c r="O44" s="226"/>
      <c r="P44" s="226"/>
      <c r="Q44" s="226"/>
    </row>
    <row r="45" spans="1:27">
      <c r="B45" s="1" t="s">
        <v>472</v>
      </c>
    </row>
    <row r="46" spans="1:27">
      <c r="B46" s="1" t="s">
        <v>464</v>
      </c>
      <c r="H46" s="32">
        <v>1</v>
      </c>
    </row>
    <row r="47" spans="1:27">
      <c r="B47" s="1" t="s">
        <v>75</v>
      </c>
    </row>
    <row r="48" spans="1:27">
      <c r="B48" s="1" t="s">
        <v>473</v>
      </c>
    </row>
    <row r="49" spans="2:16">
      <c r="B49" s="1" t="s">
        <v>465</v>
      </c>
    </row>
    <row r="51" spans="2:16" ht="14.45" customHeight="1">
      <c r="B51" s="1" t="s">
        <v>38</v>
      </c>
    </row>
    <row r="52" spans="2:16">
      <c r="B52" s="1" t="s">
        <v>39</v>
      </c>
    </row>
    <row r="53" spans="2:16">
      <c r="B53" s="1" t="s">
        <v>474</v>
      </c>
      <c r="E53" s="583"/>
      <c r="F53" s="583"/>
      <c r="G53" s="583"/>
      <c r="I53" s="226"/>
      <c r="J53" s="226"/>
      <c r="K53" s="226"/>
      <c r="L53" s="226"/>
      <c r="M53" s="226"/>
      <c r="N53" s="226"/>
      <c r="P53" s="226"/>
    </row>
    <row r="54" spans="2:16">
      <c r="E54" s="583"/>
      <c r="F54" s="583"/>
      <c r="G54" s="583"/>
      <c r="I54" s="229"/>
      <c r="J54" s="1093"/>
      <c r="K54" s="1093"/>
      <c r="L54" s="1093"/>
      <c r="M54" s="1093"/>
      <c r="N54" s="1093"/>
    </row>
    <row r="55" spans="2:16" ht="38.25">
      <c r="B55" s="337"/>
      <c r="E55" s="583"/>
      <c r="F55" s="583"/>
      <c r="G55" s="584" t="s">
        <v>475</v>
      </c>
      <c r="H55" s="585">
        <v>4.4999999999999998E-2</v>
      </c>
      <c r="I55" s="583"/>
      <c r="J55" s="583"/>
      <c r="K55" s="583"/>
      <c r="L55" s="226"/>
      <c r="M55" s="226"/>
      <c r="N55" s="226"/>
      <c r="P55" s="226"/>
    </row>
    <row r="56" spans="2:16" ht="25.5" customHeight="1">
      <c r="E56" s="583"/>
      <c r="F56" s="583"/>
      <c r="G56" s="451" t="s">
        <v>349</v>
      </c>
      <c r="H56" s="586">
        <v>4</v>
      </c>
      <c r="I56" s="229"/>
      <c r="J56" s="1093"/>
      <c r="K56" s="1093"/>
      <c r="L56" s="1093"/>
      <c r="M56" s="1093"/>
      <c r="N56" s="1093"/>
    </row>
    <row r="57" spans="2:16" ht="19.5" customHeight="1">
      <c r="I57" s="229"/>
      <c r="J57" s="1093"/>
      <c r="K57" s="1093"/>
      <c r="L57" s="1093"/>
      <c r="M57" s="1093"/>
      <c r="N57" s="1093"/>
    </row>
    <row r="58" spans="2:16">
      <c r="I58" s="226"/>
      <c r="J58" s="226"/>
      <c r="K58" s="226"/>
      <c r="L58" s="226"/>
      <c r="M58" s="226"/>
      <c r="N58" s="226"/>
      <c r="P58" s="226"/>
    </row>
    <row r="59" spans="2:16">
      <c r="I59" s="226"/>
      <c r="J59" s="226"/>
      <c r="K59" s="226"/>
      <c r="L59" s="226"/>
      <c r="M59" s="226"/>
      <c r="N59" s="226"/>
      <c r="P59" s="226"/>
    </row>
    <row r="70" spans="8:13">
      <c r="H70" s="199"/>
      <c r="I70" s="199"/>
      <c r="J70" s="199"/>
      <c r="K70" s="199"/>
      <c r="L70" s="199"/>
      <c r="M70" s="199"/>
    </row>
    <row r="71" spans="8:13">
      <c r="H71" s="231" t="s">
        <v>87</v>
      </c>
      <c r="I71" s="231" t="s">
        <v>460</v>
      </c>
      <c r="J71" s="231" t="s">
        <v>461</v>
      </c>
      <c r="K71" s="231"/>
      <c r="L71" s="231">
        <v>0.05</v>
      </c>
      <c r="M71" s="231"/>
    </row>
    <row r="72" spans="8:13">
      <c r="H72" s="231">
        <v>350000</v>
      </c>
      <c r="I72" s="231">
        <v>200000</v>
      </c>
      <c r="J72" s="231">
        <v>120000</v>
      </c>
      <c r="K72" s="231"/>
      <c r="L72" s="231"/>
      <c r="M72" s="231"/>
    </row>
  </sheetData>
  <mergeCells count="10">
    <mergeCell ref="J57:N57"/>
    <mergeCell ref="A1:B1"/>
    <mergeCell ref="A2:B2"/>
    <mergeCell ref="A3:A5"/>
    <mergeCell ref="H3:Q3"/>
    <mergeCell ref="R3:AA3"/>
    <mergeCell ref="B4:B5"/>
    <mergeCell ref="A6:G6"/>
    <mergeCell ref="J54:N54"/>
    <mergeCell ref="J56:N56"/>
  </mergeCells>
  <hyperlinks>
    <hyperlink ref="B32" r:id="rId1" display="NPV@12%" xr:uid="{BF563680-3592-4F3A-A0D6-2E38E486E7DA}"/>
  </hyperlinks>
  <pageMargins left="0.7" right="0.7" top="0.75" bottom="0.75" header="0.3" footer="0.3"/>
  <pageSetup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1A742-DD0D-4ED5-813F-157822667B08}">
  <sheetPr codeName="Sheet14"/>
  <dimension ref="A1:I8"/>
  <sheetViews>
    <sheetView showGridLines="0" workbookViewId="0">
      <selection activeCell="F14" sqref="F14"/>
    </sheetView>
  </sheetViews>
  <sheetFormatPr defaultRowHeight="12.75"/>
  <cols>
    <col min="1" max="1" width="34.28515625" style="1" bestFit="1" customWidth="1"/>
    <col min="2" max="2" width="14.28515625" style="1" bestFit="1" customWidth="1"/>
    <col min="3" max="3" width="19.5703125" style="1" customWidth="1"/>
    <col min="4" max="4" width="11.5703125" style="1" customWidth="1"/>
    <col min="5" max="5" width="9.140625" style="1"/>
    <col min="6" max="6" width="34.28515625" style="1" bestFit="1" customWidth="1"/>
    <col min="7" max="7" width="14.28515625" style="1" bestFit="1" customWidth="1"/>
    <col min="8" max="8" width="18" style="1" bestFit="1" customWidth="1"/>
    <col min="9" max="9" width="15" style="1" customWidth="1"/>
    <col min="10" max="16384" width="9.140625" style="1"/>
  </cols>
  <sheetData>
    <row r="1" spans="1:9">
      <c r="A1" s="159" t="s">
        <v>90</v>
      </c>
      <c r="B1" s="237" t="s">
        <v>91</v>
      </c>
      <c r="C1" s="237" t="s">
        <v>109</v>
      </c>
      <c r="D1" s="160" t="s">
        <v>92</v>
      </c>
      <c r="F1" s="159" t="s">
        <v>90</v>
      </c>
      <c r="G1" s="237" t="s">
        <v>91</v>
      </c>
      <c r="H1" s="237" t="s">
        <v>109</v>
      </c>
      <c r="I1" s="160" t="s">
        <v>92</v>
      </c>
    </row>
    <row r="2" spans="1:9">
      <c r="A2" s="63" t="s">
        <v>93</v>
      </c>
      <c r="B2" s="58">
        <v>2</v>
      </c>
      <c r="C2" s="58">
        <v>35</v>
      </c>
      <c r="D2" s="235">
        <f t="shared" ref="D2:D7" si="0">B2*C2</f>
        <v>70</v>
      </c>
      <c r="F2" s="63" t="s">
        <v>93</v>
      </c>
      <c r="G2" s="58">
        <v>2</v>
      </c>
      <c r="H2" s="58">
        <v>35</v>
      </c>
      <c r="I2" s="235">
        <f t="shared" ref="I2:I7" si="1">G2*H2</f>
        <v>70</v>
      </c>
    </row>
    <row r="3" spans="1:9">
      <c r="A3" s="63" t="s">
        <v>94</v>
      </c>
      <c r="B3" s="58">
        <v>4</v>
      </c>
      <c r="C3" s="58">
        <v>25</v>
      </c>
      <c r="D3" s="235">
        <f t="shared" si="0"/>
        <v>100</v>
      </c>
      <c r="F3" s="63" t="s">
        <v>94</v>
      </c>
      <c r="G3" s="58">
        <v>4</v>
      </c>
      <c r="H3" s="58">
        <v>25</v>
      </c>
      <c r="I3" s="235">
        <f t="shared" si="1"/>
        <v>100</v>
      </c>
    </row>
    <row r="4" spans="1:9">
      <c r="A4" s="63" t="s">
        <v>95</v>
      </c>
      <c r="B4" s="58">
        <v>8</v>
      </c>
      <c r="C4" s="58">
        <v>20</v>
      </c>
      <c r="D4" s="235">
        <f t="shared" si="0"/>
        <v>160</v>
      </c>
      <c r="F4" s="63" t="s">
        <v>95</v>
      </c>
      <c r="G4" s="58">
        <v>9</v>
      </c>
      <c r="H4" s="58">
        <v>20</v>
      </c>
      <c r="I4" s="235">
        <f t="shared" si="1"/>
        <v>180</v>
      </c>
    </row>
    <row r="5" spans="1:9">
      <c r="A5" s="63" t="s">
        <v>96</v>
      </c>
      <c r="B5" s="58">
        <v>40</v>
      </c>
      <c r="C5" s="58">
        <v>8</v>
      </c>
      <c r="D5" s="235">
        <f t="shared" si="0"/>
        <v>320</v>
      </c>
      <c r="F5" s="63" t="s">
        <v>96</v>
      </c>
      <c r="G5" s="58">
        <v>50</v>
      </c>
      <c r="H5" s="58">
        <v>8</v>
      </c>
      <c r="I5" s="235">
        <f t="shared" si="1"/>
        <v>400</v>
      </c>
    </row>
    <row r="6" spans="1:9">
      <c r="A6" s="63" t="s">
        <v>97</v>
      </c>
      <c r="B6" s="58">
        <v>120</v>
      </c>
      <c r="C6" s="58">
        <v>6.8</v>
      </c>
      <c r="D6" s="235">
        <f t="shared" si="0"/>
        <v>816</v>
      </c>
      <c r="F6" s="63" t="s">
        <v>97</v>
      </c>
      <c r="G6" s="58">
        <v>135</v>
      </c>
      <c r="H6" s="58">
        <v>6.8</v>
      </c>
      <c r="I6" s="235">
        <f t="shared" si="1"/>
        <v>918</v>
      </c>
    </row>
    <row r="7" spans="1:9">
      <c r="A7" s="63" t="s">
        <v>98</v>
      </c>
      <c r="B7" s="58">
        <v>350</v>
      </c>
      <c r="C7" s="58">
        <v>3.5</v>
      </c>
      <c r="D7" s="235">
        <f t="shared" si="0"/>
        <v>1225</v>
      </c>
      <c r="F7" s="63" t="s">
        <v>98</v>
      </c>
      <c r="G7" s="58">
        <v>400</v>
      </c>
      <c r="H7" s="58">
        <v>3.5</v>
      </c>
      <c r="I7" s="235">
        <f t="shared" si="1"/>
        <v>1400</v>
      </c>
    </row>
    <row r="8" spans="1:9">
      <c r="A8" s="504" t="s">
        <v>110</v>
      </c>
      <c r="B8" s="502"/>
      <c r="C8" s="502"/>
      <c r="D8" s="503">
        <f>SUM(D2:D7)/100</f>
        <v>26.91</v>
      </c>
      <c r="E8" s="495"/>
      <c r="F8" s="504" t="s">
        <v>110</v>
      </c>
      <c r="G8" s="502"/>
      <c r="H8" s="502"/>
      <c r="I8" s="503">
        <f>SUM(I2:I7)/100</f>
        <v>30.68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50F7E-C505-47EF-9AA5-B9A2D15AF5F9}">
  <sheetPr codeName="Sheet29"/>
  <dimension ref="A1:L36"/>
  <sheetViews>
    <sheetView showGridLines="0" zoomScaleNormal="100" zoomScaleSheetLayoutView="100" workbookViewId="0">
      <selection activeCell="E21" sqref="E21"/>
    </sheetView>
  </sheetViews>
  <sheetFormatPr defaultRowHeight="21" customHeight="1"/>
  <cols>
    <col min="1" max="1" width="46.140625" style="148" customWidth="1"/>
    <col min="2" max="11" width="10.7109375" style="148" customWidth="1"/>
    <col min="12" max="256" width="9.140625" style="148"/>
    <col min="257" max="257" width="35.7109375" style="148" customWidth="1"/>
    <col min="258" max="267" width="10.7109375" style="148" customWidth="1"/>
    <col min="268" max="512" width="9.140625" style="148"/>
    <col min="513" max="513" width="35.7109375" style="148" customWidth="1"/>
    <col min="514" max="523" width="10.7109375" style="148" customWidth="1"/>
    <col min="524" max="768" width="9.140625" style="148"/>
    <col min="769" max="769" width="35.7109375" style="148" customWidth="1"/>
    <col min="770" max="779" width="10.7109375" style="148" customWidth="1"/>
    <col min="780" max="1024" width="9.140625" style="148"/>
    <col min="1025" max="1025" width="35.7109375" style="148" customWidth="1"/>
    <col min="1026" max="1035" width="10.7109375" style="148" customWidth="1"/>
    <col min="1036" max="1280" width="9.140625" style="148"/>
    <col min="1281" max="1281" width="35.7109375" style="148" customWidth="1"/>
    <col min="1282" max="1291" width="10.7109375" style="148" customWidth="1"/>
    <col min="1292" max="1536" width="9.140625" style="148"/>
    <col min="1537" max="1537" width="35.7109375" style="148" customWidth="1"/>
    <col min="1538" max="1547" width="10.7109375" style="148" customWidth="1"/>
    <col min="1548" max="1792" width="9.140625" style="148"/>
    <col min="1793" max="1793" width="35.7109375" style="148" customWidth="1"/>
    <col min="1794" max="1803" width="10.7109375" style="148" customWidth="1"/>
    <col min="1804" max="2048" width="9.140625" style="148"/>
    <col min="2049" max="2049" width="35.7109375" style="148" customWidth="1"/>
    <col min="2050" max="2059" width="10.7109375" style="148" customWidth="1"/>
    <col min="2060" max="2304" width="9.140625" style="148"/>
    <col min="2305" max="2305" width="35.7109375" style="148" customWidth="1"/>
    <col min="2306" max="2315" width="10.7109375" style="148" customWidth="1"/>
    <col min="2316" max="2560" width="9.140625" style="148"/>
    <col min="2561" max="2561" width="35.7109375" style="148" customWidth="1"/>
    <col min="2562" max="2571" width="10.7109375" style="148" customWidth="1"/>
    <col min="2572" max="2816" width="9.140625" style="148"/>
    <col min="2817" max="2817" width="35.7109375" style="148" customWidth="1"/>
    <col min="2818" max="2827" width="10.7109375" style="148" customWidth="1"/>
    <col min="2828" max="3072" width="9.140625" style="148"/>
    <col min="3073" max="3073" width="35.7109375" style="148" customWidth="1"/>
    <col min="3074" max="3083" width="10.7109375" style="148" customWidth="1"/>
    <col min="3084" max="3328" width="9.140625" style="148"/>
    <col min="3329" max="3329" width="35.7109375" style="148" customWidth="1"/>
    <col min="3330" max="3339" width="10.7109375" style="148" customWidth="1"/>
    <col min="3340" max="3584" width="9.140625" style="148"/>
    <col min="3585" max="3585" width="35.7109375" style="148" customWidth="1"/>
    <col min="3586" max="3595" width="10.7109375" style="148" customWidth="1"/>
    <col min="3596" max="3840" width="9.140625" style="148"/>
    <col min="3841" max="3841" width="35.7109375" style="148" customWidth="1"/>
    <col min="3842" max="3851" width="10.7109375" style="148" customWidth="1"/>
    <col min="3852" max="4096" width="9.140625" style="148"/>
    <col min="4097" max="4097" width="35.7109375" style="148" customWidth="1"/>
    <col min="4098" max="4107" width="10.7109375" style="148" customWidth="1"/>
    <col min="4108" max="4352" width="9.140625" style="148"/>
    <col min="4353" max="4353" width="35.7109375" style="148" customWidth="1"/>
    <col min="4354" max="4363" width="10.7109375" style="148" customWidth="1"/>
    <col min="4364" max="4608" width="9.140625" style="148"/>
    <col min="4609" max="4609" width="35.7109375" style="148" customWidth="1"/>
    <col min="4610" max="4619" width="10.7109375" style="148" customWidth="1"/>
    <col min="4620" max="4864" width="9.140625" style="148"/>
    <col min="4865" max="4865" width="35.7109375" style="148" customWidth="1"/>
    <col min="4866" max="4875" width="10.7109375" style="148" customWidth="1"/>
    <col min="4876" max="5120" width="9.140625" style="148"/>
    <col min="5121" max="5121" width="35.7109375" style="148" customWidth="1"/>
    <col min="5122" max="5131" width="10.7109375" style="148" customWidth="1"/>
    <col min="5132" max="5376" width="9.140625" style="148"/>
    <col min="5377" max="5377" width="35.7109375" style="148" customWidth="1"/>
    <col min="5378" max="5387" width="10.7109375" style="148" customWidth="1"/>
    <col min="5388" max="5632" width="9.140625" style="148"/>
    <col min="5633" max="5633" width="35.7109375" style="148" customWidth="1"/>
    <col min="5634" max="5643" width="10.7109375" style="148" customWidth="1"/>
    <col min="5644" max="5888" width="9.140625" style="148"/>
    <col min="5889" max="5889" width="35.7109375" style="148" customWidth="1"/>
    <col min="5890" max="5899" width="10.7109375" style="148" customWidth="1"/>
    <col min="5900" max="6144" width="9.140625" style="148"/>
    <col min="6145" max="6145" width="35.7109375" style="148" customWidth="1"/>
    <col min="6146" max="6155" width="10.7109375" style="148" customWidth="1"/>
    <col min="6156" max="6400" width="9.140625" style="148"/>
    <col min="6401" max="6401" width="35.7109375" style="148" customWidth="1"/>
    <col min="6402" max="6411" width="10.7109375" style="148" customWidth="1"/>
    <col min="6412" max="6656" width="9.140625" style="148"/>
    <col min="6657" max="6657" width="35.7109375" style="148" customWidth="1"/>
    <col min="6658" max="6667" width="10.7109375" style="148" customWidth="1"/>
    <col min="6668" max="6912" width="9.140625" style="148"/>
    <col min="6913" max="6913" width="35.7109375" style="148" customWidth="1"/>
    <col min="6914" max="6923" width="10.7109375" style="148" customWidth="1"/>
    <col min="6924" max="7168" width="9.140625" style="148"/>
    <col min="7169" max="7169" width="35.7109375" style="148" customWidth="1"/>
    <col min="7170" max="7179" width="10.7109375" style="148" customWidth="1"/>
    <col min="7180" max="7424" width="9.140625" style="148"/>
    <col min="7425" max="7425" width="35.7109375" style="148" customWidth="1"/>
    <col min="7426" max="7435" width="10.7109375" style="148" customWidth="1"/>
    <col min="7436" max="7680" width="9.140625" style="148"/>
    <col min="7681" max="7681" width="35.7109375" style="148" customWidth="1"/>
    <col min="7682" max="7691" width="10.7109375" style="148" customWidth="1"/>
    <col min="7692" max="7936" width="9.140625" style="148"/>
    <col min="7937" max="7937" width="35.7109375" style="148" customWidth="1"/>
    <col min="7938" max="7947" width="10.7109375" style="148" customWidth="1"/>
    <col min="7948" max="8192" width="9.140625" style="148"/>
    <col min="8193" max="8193" width="35.7109375" style="148" customWidth="1"/>
    <col min="8194" max="8203" width="10.7109375" style="148" customWidth="1"/>
    <col min="8204" max="8448" width="9.140625" style="148"/>
    <col min="8449" max="8449" width="35.7109375" style="148" customWidth="1"/>
    <col min="8450" max="8459" width="10.7109375" style="148" customWidth="1"/>
    <col min="8460" max="8704" width="9.140625" style="148"/>
    <col min="8705" max="8705" width="35.7109375" style="148" customWidth="1"/>
    <col min="8706" max="8715" width="10.7109375" style="148" customWidth="1"/>
    <col min="8716" max="8960" width="9.140625" style="148"/>
    <col min="8961" max="8961" width="35.7109375" style="148" customWidth="1"/>
    <col min="8962" max="8971" width="10.7109375" style="148" customWidth="1"/>
    <col min="8972" max="9216" width="9.140625" style="148"/>
    <col min="9217" max="9217" width="35.7109375" style="148" customWidth="1"/>
    <col min="9218" max="9227" width="10.7109375" style="148" customWidth="1"/>
    <col min="9228" max="9472" width="9.140625" style="148"/>
    <col min="9473" max="9473" width="35.7109375" style="148" customWidth="1"/>
    <col min="9474" max="9483" width="10.7109375" style="148" customWidth="1"/>
    <col min="9484" max="9728" width="9.140625" style="148"/>
    <col min="9729" max="9729" width="35.7109375" style="148" customWidth="1"/>
    <col min="9730" max="9739" width="10.7109375" style="148" customWidth="1"/>
    <col min="9740" max="9984" width="9.140625" style="148"/>
    <col min="9985" max="9985" width="35.7109375" style="148" customWidth="1"/>
    <col min="9986" max="9995" width="10.7109375" style="148" customWidth="1"/>
    <col min="9996" max="10240" width="9.140625" style="148"/>
    <col min="10241" max="10241" width="35.7109375" style="148" customWidth="1"/>
    <col min="10242" max="10251" width="10.7109375" style="148" customWidth="1"/>
    <col min="10252" max="10496" width="9.140625" style="148"/>
    <col min="10497" max="10497" width="35.7109375" style="148" customWidth="1"/>
    <col min="10498" max="10507" width="10.7109375" style="148" customWidth="1"/>
    <col min="10508" max="10752" width="9.140625" style="148"/>
    <col min="10753" max="10753" width="35.7109375" style="148" customWidth="1"/>
    <col min="10754" max="10763" width="10.7109375" style="148" customWidth="1"/>
    <col min="10764" max="11008" width="9.140625" style="148"/>
    <col min="11009" max="11009" width="35.7109375" style="148" customWidth="1"/>
    <col min="11010" max="11019" width="10.7109375" style="148" customWidth="1"/>
    <col min="11020" max="11264" width="9.140625" style="148"/>
    <col min="11265" max="11265" width="35.7109375" style="148" customWidth="1"/>
    <col min="11266" max="11275" width="10.7109375" style="148" customWidth="1"/>
    <col min="11276" max="11520" width="9.140625" style="148"/>
    <col min="11521" max="11521" width="35.7109375" style="148" customWidth="1"/>
    <col min="11522" max="11531" width="10.7109375" style="148" customWidth="1"/>
    <col min="11532" max="11776" width="9.140625" style="148"/>
    <col min="11777" max="11777" width="35.7109375" style="148" customWidth="1"/>
    <col min="11778" max="11787" width="10.7109375" style="148" customWidth="1"/>
    <col min="11788" max="12032" width="9.140625" style="148"/>
    <col min="12033" max="12033" width="35.7109375" style="148" customWidth="1"/>
    <col min="12034" max="12043" width="10.7109375" style="148" customWidth="1"/>
    <col min="12044" max="12288" width="9.140625" style="148"/>
    <col min="12289" max="12289" width="35.7109375" style="148" customWidth="1"/>
    <col min="12290" max="12299" width="10.7109375" style="148" customWidth="1"/>
    <col min="12300" max="12544" width="9.140625" style="148"/>
    <col min="12545" max="12545" width="35.7109375" style="148" customWidth="1"/>
    <col min="12546" max="12555" width="10.7109375" style="148" customWidth="1"/>
    <col min="12556" max="12800" width="9.140625" style="148"/>
    <col min="12801" max="12801" width="35.7109375" style="148" customWidth="1"/>
    <col min="12802" max="12811" width="10.7109375" style="148" customWidth="1"/>
    <col min="12812" max="13056" width="9.140625" style="148"/>
    <col min="13057" max="13057" width="35.7109375" style="148" customWidth="1"/>
    <col min="13058" max="13067" width="10.7109375" style="148" customWidth="1"/>
    <col min="13068" max="13312" width="9.140625" style="148"/>
    <col min="13313" max="13313" width="35.7109375" style="148" customWidth="1"/>
    <col min="13314" max="13323" width="10.7109375" style="148" customWidth="1"/>
    <col min="13324" max="13568" width="9.140625" style="148"/>
    <col min="13569" max="13569" width="35.7109375" style="148" customWidth="1"/>
    <col min="13570" max="13579" width="10.7109375" style="148" customWidth="1"/>
    <col min="13580" max="13824" width="9.140625" style="148"/>
    <col min="13825" max="13825" width="35.7109375" style="148" customWidth="1"/>
    <col min="13826" max="13835" width="10.7109375" style="148" customWidth="1"/>
    <col min="13836" max="14080" width="9.140625" style="148"/>
    <col min="14081" max="14081" width="35.7109375" style="148" customWidth="1"/>
    <col min="14082" max="14091" width="10.7109375" style="148" customWidth="1"/>
    <col min="14092" max="14336" width="9.140625" style="148"/>
    <col min="14337" max="14337" width="35.7109375" style="148" customWidth="1"/>
    <col min="14338" max="14347" width="10.7109375" style="148" customWidth="1"/>
    <col min="14348" max="14592" width="9.140625" style="148"/>
    <col min="14593" max="14593" width="35.7109375" style="148" customWidth="1"/>
    <col min="14594" max="14603" width="10.7109375" style="148" customWidth="1"/>
    <col min="14604" max="14848" width="9.140625" style="148"/>
    <col min="14849" max="14849" width="35.7109375" style="148" customWidth="1"/>
    <col min="14850" max="14859" width="10.7109375" style="148" customWidth="1"/>
    <col min="14860" max="15104" width="9.140625" style="148"/>
    <col min="15105" max="15105" width="35.7109375" style="148" customWidth="1"/>
    <col min="15106" max="15115" width="10.7109375" style="148" customWidth="1"/>
    <col min="15116" max="15360" width="9.140625" style="148"/>
    <col min="15361" max="15361" width="35.7109375" style="148" customWidth="1"/>
    <col min="15362" max="15371" width="10.7109375" style="148" customWidth="1"/>
    <col min="15372" max="15616" width="9.140625" style="148"/>
    <col min="15617" max="15617" width="35.7109375" style="148" customWidth="1"/>
    <col min="15618" max="15627" width="10.7109375" style="148" customWidth="1"/>
    <col min="15628" max="15872" width="9.140625" style="148"/>
    <col min="15873" max="15873" width="35.7109375" style="148" customWidth="1"/>
    <col min="15874" max="15883" width="10.7109375" style="148" customWidth="1"/>
    <col min="15884" max="16128" width="9.140625" style="148"/>
    <col min="16129" max="16129" width="35.7109375" style="148" customWidth="1"/>
    <col min="16130" max="16139" width="10.7109375" style="148" customWidth="1"/>
    <col min="16140" max="16384" width="9.140625" style="148"/>
  </cols>
  <sheetData>
    <row r="1" spans="1:12" ht="21" customHeight="1">
      <c r="A1" s="1107" t="s">
        <v>455</v>
      </c>
      <c r="B1" s="1108"/>
      <c r="C1" s="1108"/>
      <c r="D1" s="1108"/>
      <c r="E1" s="1108"/>
      <c r="F1" s="1108"/>
      <c r="G1" s="1108"/>
      <c r="H1" s="1108"/>
      <c r="I1" s="1108"/>
      <c r="J1" s="1108"/>
      <c r="K1" s="1109"/>
    </row>
    <row r="2" spans="1:12" ht="21" customHeight="1">
      <c r="A2" s="505" t="s">
        <v>259</v>
      </c>
      <c r="B2" s="506">
        <v>0.7</v>
      </c>
      <c r="C2" s="506">
        <v>0.9</v>
      </c>
      <c r="D2" s="506">
        <v>1</v>
      </c>
      <c r="E2" s="506">
        <v>1</v>
      </c>
      <c r="F2" s="506">
        <v>1</v>
      </c>
      <c r="G2" s="506">
        <v>1</v>
      </c>
      <c r="H2" s="506">
        <v>1</v>
      </c>
      <c r="I2" s="506">
        <v>1</v>
      </c>
      <c r="J2" s="506">
        <v>1</v>
      </c>
      <c r="K2" s="507">
        <v>1</v>
      </c>
    </row>
    <row r="3" spans="1:12" ht="18.75" customHeight="1">
      <c r="A3" s="1110" t="s">
        <v>260</v>
      </c>
      <c r="B3" s="1111"/>
      <c r="C3" s="1111"/>
      <c r="D3" s="1111"/>
      <c r="E3" s="1111"/>
      <c r="F3" s="1111"/>
      <c r="G3" s="1111"/>
      <c r="H3" s="1111"/>
      <c r="I3" s="1111"/>
      <c r="J3" s="1111"/>
      <c r="K3" s="1112"/>
      <c r="L3" s="134"/>
    </row>
    <row r="4" spans="1:12" ht="21" customHeight="1">
      <c r="A4" s="505"/>
      <c r="B4" s="134" t="s">
        <v>261</v>
      </c>
      <c r="C4" s="134" t="s">
        <v>262</v>
      </c>
      <c r="D4" s="134" t="s">
        <v>263</v>
      </c>
      <c r="E4" s="134" t="s">
        <v>264</v>
      </c>
      <c r="F4" s="134" t="s">
        <v>265</v>
      </c>
      <c r="G4" s="134" t="s">
        <v>266</v>
      </c>
      <c r="H4" s="134" t="s">
        <v>267</v>
      </c>
      <c r="I4" s="134" t="s">
        <v>268</v>
      </c>
      <c r="J4" s="134" t="s">
        <v>269</v>
      </c>
      <c r="K4" s="508" t="s">
        <v>270</v>
      </c>
      <c r="L4" s="134"/>
    </row>
    <row r="5" spans="1:12" s="135" customFormat="1" ht="21" customHeight="1">
      <c r="A5" s="505" t="s">
        <v>300</v>
      </c>
      <c r="B5" s="146">
        <f>'Cashflow 350 KTPA'!H11</f>
        <v>1831.362974583333</v>
      </c>
      <c r="C5" s="146">
        <f>'Cashflow 350 KTPA'!I11</f>
        <v>2490.0937716096746</v>
      </c>
      <c r="D5" s="146">
        <f>'Cashflow 350 KTPA'!J11</f>
        <v>2925.9708524756611</v>
      </c>
      <c r="E5" s="146">
        <f>'Cashflow 350 KTPA'!K11</f>
        <v>3094.3312153271104</v>
      </c>
      <c r="F5" s="146">
        <f>'Cashflow 350 KTPA'!L11</f>
        <v>3272.3790334570317</v>
      </c>
      <c r="G5" s="146">
        <f>'Cashflow 350 KTPA'!M11</f>
        <v>3460.6717230421491</v>
      </c>
      <c r="H5" s="146">
        <f>'Cashflow 350 KTPA'!N11</f>
        <v>3659.7987739859932</v>
      </c>
      <c r="I5" s="146">
        <f>'Cashflow 350 KTPA'!O11</f>
        <v>3870.3835954411475</v>
      </c>
      <c r="J5" s="146">
        <f>'Cashflow 350 KTPA'!P11</f>
        <v>4093.0854675228293</v>
      </c>
      <c r="K5" s="527">
        <f>'Cashflow 350 KTPA'!Q11</f>
        <v>4328.6016053240928</v>
      </c>
      <c r="L5" s="134"/>
    </row>
    <row r="6" spans="1:12" s="135" customFormat="1" ht="21" customHeight="1">
      <c r="A6" s="505" t="s">
        <v>446</v>
      </c>
      <c r="B6" s="146">
        <f>SUM(B7:B12)</f>
        <v>932.23678602710277</v>
      </c>
      <c r="C6" s="146">
        <f t="shared" ref="C6:K6" si="0">SUM(C7:C12)</f>
        <v>1165.227980749263</v>
      </c>
      <c r="D6" s="146">
        <f t="shared" si="0"/>
        <v>1327.4830894654915</v>
      </c>
      <c r="E6" s="146">
        <f t="shared" si="0"/>
        <v>1402.011308983919</v>
      </c>
      <c r="F6" s="146">
        <f t="shared" si="0"/>
        <v>1478.2965194678557</v>
      </c>
      <c r="G6" s="146">
        <f t="shared" si="0"/>
        <v>1559.9933128256891</v>
      </c>
      <c r="H6" s="146">
        <f t="shared" si="0"/>
        <v>1645.9450433250197</v>
      </c>
      <c r="I6" s="146">
        <f t="shared" si="0"/>
        <v>1737.1367293137926</v>
      </c>
      <c r="J6" s="146">
        <f t="shared" si="0"/>
        <v>1835.2195060042764</v>
      </c>
      <c r="K6" s="527">
        <f t="shared" si="0"/>
        <v>1933.1452687027047</v>
      </c>
      <c r="L6" s="134"/>
    </row>
    <row r="7" spans="1:12" s="135" customFormat="1" ht="21" customHeight="1">
      <c r="A7" s="52" t="s">
        <v>28</v>
      </c>
      <c r="B7" s="146">
        <f>'Cashflow 350 KTPA'!H14</f>
        <v>529.49751647064807</v>
      </c>
      <c r="C7" s="146">
        <f>'Cashflow 350 KTPA'!I14</f>
        <v>721.44872468776794</v>
      </c>
      <c r="D7" s="146">
        <f>'Cashflow 350 KTPA'!J14</f>
        <v>850.58243513901971</v>
      </c>
      <c r="E7" s="146">
        <f>'Cashflow 350 KTPA'!K14</f>
        <v>901.92486679766364</v>
      </c>
      <c r="F7" s="146">
        <f>'Cashflow 350 KTPA'!L14</f>
        <v>953.91587478178133</v>
      </c>
      <c r="G7" s="146">
        <f>'Cashflow 350 KTPA'!M14</f>
        <v>1010.1997731415307</v>
      </c>
      <c r="H7" s="146">
        <f>'Cashflow 350 KTPA'!N14</f>
        <v>1069.4878927273203</v>
      </c>
      <c r="I7" s="146">
        <f>'Cashflow 350 KTPA'!O14</f>
        <v>1132.7026483467005</v>
      </c>
      <c r="J7" s="146">
        <f>'Cashflow 350 KTPA'!P14</f>
        <v>1201.4293815351361</v>
      </c>
      <c r="K7" s="527">
        <f>'Cashflow 350 KTPA'!Q14</f>
        <v>1268.550838222741</v>
      </c>
      <c r="L7" s="134"/>
    </row>
    <row r="8" spans="1:12" s="135" customFormat="1" ht="21" customHeight="1">
      <c r="A8" s="52" t="s">
        <v>328</v>
      </c>
      <c r="B8" s="146">
        <f>'Cashflow 350 KTPA'!H15</f>
        <v>71.75</v>
      </c>
      <c r="C8" s="146">
        <f>'Cashflow 350 KTPA'!I15</f>
        <v>97.895469375000005</v>
      </c>
      <c r="D8" s="146">
        <f>'Cashflow 350 KTPA'!J15</f>
        <v>115.45209723908435</v>
      </c>
      <c r="E8" s="146">
        <f>'Cashflow 350 KTPA'!K15</f>
        <v>122.37270002993542</v>
      </c>
      <c r="F8" s="146">
        <f>'Cashflow 350 KTPA'!L15</f>
        <v>129.66978413272042</v>
      </c>
      <c r="G8" s="146">
        <f>'Cashflow 350 KTPA'!M15</f>
        <v>137.32069040590332</v>
      </c>
      <c r="H8" s="146">
        <f>'Cashflow 350 KTPA'!N15</f>
        <v>145.42302310192281</v>
      </c>
      <c r="I8" s="146">
        <f>'Cashflow 350 KTPA'!O15</f>
        <v>154.00341773400555</v>
      </c>
      <c r="J8" s="146">
        <f>'Cashflow 350 KTPA'!P15</f>
        <v>163.09008139056505</v>
      </c>
      <c r="K8" s="527">
        <f>'Cashflow 350 KTPA'!Q15</f>
        <v>172.71288546285257</v>
      </c>
      <c r="L8" s="134"/>
    </row>
    <row r="9" spans="1:12" s="135" customFormat="1" ht="21" customHeight="1">
      <c r="A9" s="52" t="s">
        <v>29</v>
      </c>
      <c r="B9" s="146">
        <f>'Cashflow 350 KTPA'!H16</f>
        <v>26.91</v>
      </c>
      <c r="C9" s="146">
        <f>'Cashflow 350 KTPA'!I16</f>
        <v>28.120949999999997</v>
      </c>
      <c r="D9" s="146">
        <f>'Cashflow 350 KTPA'!J16</f>
        <v>29.386392749999995</v>
      </c>
      <c r="E9" s="146">
        <f>'Cashflow 350 KTPA'!K16</f>
        <v>30.708780423749996</v>
      </c>
      <c r="F9" s="146">
        <f>'Cashflow 350 KTPA'!L16</f>
        <v>32.090675542818737</v>
      </c>
      <c r="G9" s="146">
        <f>'Cashflow 350 KTPA'!M16</f>
        <v>33.534755942245582</v>
      </c>
      <c r="H9" s="146">
        <f>'Cashflow 350 KTPA'!N16</f>
        <v>35.043819959646619</v>
      </c>
      <c r="I9" s="146">
        <f>'Cashflow 350 KTPA'!O16</f>
        <v>36.620791857830724</v>
      </c>
      <c r="J9" s="146">
        <f>'Cashflow 350 KTPA'!P16</f>
        <v>38.26872749143309</v>
      </c>
      <c r="K9" s="527">
        <f>'Cashflow 350 KTPA'!Q16</f>
        <v>39.990820228547577</v>
      </c>
      <c r="L9" s="134"/>
    </row>
    <row r="10" spans="1:12" s="135" customFormat="1" ht="21" customHeight="1">
      <c r="A10" s="52" t="s">
        <v>17</v>
      </c>
      <c r="B10" s="146">
        <f>'Cashflow 350 KTPA'!H17</f>
        <v>157.19999999999999</v>
      </c>
      <c r="C10" s="146">
        <f>'Cashflow 350 KTPA'!I17</f>
        <v>164.27399999999997</v>
      </c>
      <c r="D10" s="146">
        <f>'Cashflow 350 KTPA'!J17</f>
        <v>171.66632999999996</v>
      </c>
      <c r="E10" s="146">
        <f>'Cashflow 350 KTPA'!K17</f>
        <v>179.39131484999996</v>
      </c>
      <c r="F10" s="146">
        <f>'Cashflow 350 KTPA'!L17</f>
        <v>187.46392401824991</v>
      </c>
      <c r="G10" s="146">
        <f>'Cashflow 350 KTPA'!M17</f>
        <v>195.89980059907114</v>
      </c>
      <c r="H10" s="146">
        <f>'Cashflow 350 KTPA'!N17</f>
        <v>204.71529162602931</v>
      </c>
      <c r="I10" s="146">
        <f>'Cashflow 350 KTPA'!O17</f>
        <v>213.92747974920064</v>
      </c>
      <c r="J10" s="146">
        <f>'Cashflow 350 KTPA'!P17</f>
        <v>223.5542163379146</v>
      </c>
      <c r="K10" s="527">
        <f>'Cashflow 350 KTPA'!Q17</f>
        <v>233.61415607312074</v>
      </c>
      <c r="L10" s="134"/>
    </row>
    <row r="11" spans="1:12" s="135" customFormat="1" ht="21" customHeight="1">
      <c r="A11" s="52" t="s">
        <v>20</v>
      </c>
      <c r="B11" s="146">
        <f>'Cashflow 350 KTPA'!H18</f>
        <v>69.089377505903997</v>
      </c>
      <c r="C11" s="146">
        <f>'Cashflow 350 KTPA'!I18</f>
        <v>72.198399493669669</v>
      </c>
      <c r="D11" s="146">
        <f>'Cashflow 350 KTPA'!J18</f>
        <v>75.447327470884801</v>
      </c>
      <c r="E11" s="146">
        <f>'Cashflow 350 KTPA'!K18</f>
        <v>78.842457207074617</v>
      </c>
      <c r="F11" s="146">
        <f>'Cashflow 350 KTPA'!L18</f>
        <v>82.390367781392953</v>
      </c>
      <c r="G11" s="146">
        <f>'Cashflow 350 KTPA'!M18</f>
        <v>86.097934331555635</v>
      </c>
      <c r="H11" s="146">
        <f>'Cashflow 350 KTPA'!N18</f>
        <v>89.972341376475612</v>
      </c>
      <c r="I11" s="146">
        <f>'Cashflow 350 KTPA'!O18</f>
        <v>94.021096738417029</v>
      </c>
      <c r="J11" s="146">
        <f>'Cashflow 350 KTPA'!P18</f>
        <v>98.252046091645767</v>
      </c>
      <c r="K11" s="527">
        <f>'Cashflow 350 KTPA'!Q18</f>
        <v>102.67338816576981</v>
      </c>
      <c r="L11" s="134"/>
    </row>
    <row r="12" spans="1:12" s="135" customFormat="1" ht="21" customHeight="1">
      <c r="A12" s="52" t="s">
        <v>21</v>
      </c>
      <c r="B12" s="146">
        <f>'Cashflow 350 KTPA'!H19</f>
        <v>77.789892050550776</v>
      </c>
      <c r="C12" s="146">
        <f>'Cashflow 350 KTPA'!I19</f>
        <v>81.29043719282555</v>
      </c>
      <c r="D12" s="146">
        <f>'Cashflow 350 KTPA'!J19</f>
        <v>84.948506866502697</v>
      </c>
      <c r="E12" s="146">
        <f>'Cashflow 350 KTPA'!K19</f>
        <v>88.771189675495322</v>
      </c>
      <c r="F12" s="146">
        <f>'Cashflow 350 KTPA'!L19</f>
        <v>92.765893210892585</v>
      </c>
      <c r="G12" s="146">
        <f>'Cashflow 350 KTPA'!M19</f>
        <v>96.940358405382753</v>
      </c>
      <c r="H12" s="146">
        <f>'Cashflow 350 KTPA'!N19</f>
        <v>101.30267453362495</v>
      </c>
      <c r="I12" s="146">
        <f>'Cashflow 350 KTPA'!O19</f>
        <v>105.86129488763808</v>
      </c>
      <c r="J12" s="146">
        <f>'Cashflow 350 KTPA'!P19</f>
        <v>110.62505315758176</v>
      </c>
      <c r="K12" s="527">
        <f>'Cashflow 350 KTPA'!Q19</f>
        <v>115.60318054967293</v>
      </c>
      <c r="L12" s="134"/>
    </row>
    <row r="13" spans="1:12" ht="21" customHeight="1">
      <c r="A13" s="505" t="s">
        <v>447</v>
      </c>
      <c r="B13" s="146">
        <f t="shared" ref="B13:K13" si="1">B5-B6</f>
        <v>899.1261885562302</v>
      </c>
      <c r="C13" s="146">
        <f t="shared" si="1"/>
        <v>1324.8657908604116</v>
      </c>
      <c r="D13" s="146">
        <f t="shared" si="1"/>
        <v>1598.4877630101696</v>
      </c>
      <c r="E13" s="146">
        <f t="shared" si="1"/>
        <v>1692.3199063431914</v>
      </c>
      <c r="F13" s="146">
        <f t="shared" si="1"/>
        <v>1794.0825139891761</v>
      </c>
      <c r="G13" s="146">
        <f t="shared" si="1"/>
        <v>1900.67841021646</v>
      </c>
      <c r="H13" s="146">
        <f t="shared" si="1"/>
        <v>2013.8537306609735</v>
      </c>
      <c r="I13" s="146">
        <f t="shared" si="1"/>
        <v>2133.2468661273551</v>
      </c>
      <c r="J13" s="146">
        <f t="shared" si="1"/>
        <v>2257.8659615185529</v>
      </c>
      <c r="K13" s="527">
        <f t="shared" si="1"/>
        <v>2395.4563366213879</v>
      </c>
      <c r="L13" s="147"/>
    </row>
    <row r="14" spans="1:12" s="135" customFormat="1" ht="21" customHeight="1">
      <c r="A14" s="505" t="s">
        <v>453</v>
      </c>
      <c r="B14" s="146">
        <f>'Cashflow 350 KTPA'!$G$8/10</f>
        <v>415.94497678079995</v>
      </c>
      <c r="C14" s="146">
        <f>'Cashflow 350 KTPA'!$G$8/10</f>
        <v>415.94497678079995</v>
      </c>
      <c r="D14" s="146">
        <f>'Cashflow 350 KTPA'!$G$8/10</f>
        <v>415.94497678079995</v>
      </c>
      <c r="E14" s="146">
        <f>'Cashflow 350 KTPA'!$G$8/10</f>
        <v>415.94497678079995</v>
      </c>
      <c r="F14" s="146">
        <f>'Cashflow 350 KTPA'!$G$8/10</f>
        <v>415.94497678079995</v>
      </c>
      <c r="G14" s="146">
        <f>'Cashflow 350 KTPA'!$G$8/10</f>
        <v>415.94497678079995</v>
      </c>
      <c r="H14" s="146">
        <f>'Cashflow 350 KTPA'!$G$8/10</f>
        <v>415.94497678079995</v>
      </c>
      <c r="I14" s="146">
        <f>'Cashflow 350 KTPA'!$G$8/10</f>
        <v>415.94497678079995</v>
      </c>
      <c r="J14" s="146">
        <f>'Cashflow 350 KTPA'!$G$8/10</f>
        <v>415.94497678079995</v>
      </c>
      <c r="K14" s="527">
        <f>'Cashflow 350 KTPA'!$G$8/10</f>
        <v>415.94497678079995</v>
      </c>
      <c r="L14" s="134"/>
    </row>
    <row r="15" spans="1:12" s="135" customFormat="1" ht="21" customHeight="1">
      <c r="A15" s="505" t="s">
        <v>454</v>
      </c>
      <c r="B15" s="146">
        <f>B13-B14</f>
        <v>483.18121177543026</v>
      </c>
      <c r="C15" s="146">
        <f t="shared" ref="C15:K15" si="2">C13-C14</f>
        <v>908.92081407961166</v>
      </c>
      <c r="D15" s="146">
        <f t="shared" si="2"/>
        <v>1182.5427862293695</v>
      </c>
      <c r="E15" s="146">
        <f t="shared" si="2"/>
        <v>1276.3749295623916</v>
      </c>
      <c r="F15" s="146">
        <f t="shared" si="2"/>
        <v>1378.1375372083762</v>
      </c>
      <c r="G15" s="146">
        <f t="shared" si="2"/>
        <v>1484.7334334356601</v>
      </c>
      <c r="H15" s="146">
        <f t="shared" si="2"/>
        <v>1597.9087538801737</v>
      </c>
      <c r="I15" s="146">
        <f t="shared" si="2"/>
        <v>1717.3018893465551</v>
      </c>
      <c r="J15" s="146">
        <f t="shared" si="2"/>
        <v>1841.9209847377529</v>
      </c>
      <c r="K15" s="527">
        <f t="shared" si="2"/>
        <v>1979.5113598405878</v>
      </c>
      <c r="L15" s="134"/>
    </row>
    <row r="16" spans="1:12" s="135" customFormat="1" ht="21" customHeight="1">
      <c r="A16" s="505" t="s">
        <v>271</v>
      </c>
      <c r="B16" s="146">
        <f>B15*0.2517</f>
        <v>121.61671100387579</v>
      </c>
      <c r="C16" s="146">
        <f t="shared" ref="C16:K16" si="3">C15*0.2517</f>
        <v>228.77536890383823</v>
      </c>
      <c r="D16" s="146">
        <f t="shared" si="3"/>
        <v>297.64601929393228</v>
      </c>
      <c r="E16" s="146">
        <f t="shared" si="3"/>
        <v>321.26356977085391</v>
      </c>
      <c r="F16" s="146">
        <f t="shared" si="3"/>
        <v>346.87721811534828</v>
      </c>
      <c r="G16" s="146">
        <f t="shared" si="3"/>
        <v>373.7074051957556</v>
      </c>
      <c r="H16" s="146">
        <f t="shared" si="3"/>
        <v>402.19363335163968</v>
      </c>
      <c r="I16" s="146">
        <f t="shared" si="3"/>
        <v>432.24488554852786</v>
      </c>
      <c r="J16" s="146">
        <f t="shared" si="3"/>
        <v>463.61151185849235</v>
      </c>
      <c r="K16" s="527">
        <f t="shared" si="3"/>
        <v>498.24300927187591</v>
      </c>
      <c r="L16" s="134"/>
    </row>
    <row r="17" spans="1:12" s="135" customFormat="1" ht="21" customHeight="1">
      <c r="A17" s="509" t="s">
        <v>272</v>
      </c>
      <c r="B17" s="528">
        <f>B15-B16</f>
        <v>361.56450077155444</v>
      </c>
      <c r="C17" s="528">
        <f t="shared" ref="C17:K17" si="4">C15-C16</f>
        <v>680.14544517577338</v>
      </c>
      <c r="D17" s="528">
        <f t="shared" si="4"/>
        <v>884.8967669354372</v>
      </c>
      <c r="E17" s="528">
        <f t="shared" si="4"/>
        <v>955.11135979153767</v>
      </c>
      <c r="F17" s="528">
        <f t="shared" si="4"/>
        <v>1031.2603190930279</v>
      </c>
      <c r="G17" s="528">
        <f t="shared" si="4"/>
        <v>1111.0260282399045</v>
      </c>
      <c r="H17" s="528">
        <f t="shared" si="4"/>
        <v>1195.715120528534</v>
      </c>
      <c r="I17" s="528">
        <f t="shared" si="4"/>
        <v>1285.0570037980272</v>
      </c>
      <c r="J17" s="528">
        <f t="shared" si="4"/>
        <v>1378.3094728792605</v>
      </c>
      <c r="K17" s="529">
        <f t="shared" si="4"/>
        <v>1481.2683505687119</v>
      </c>
      <c r="L17" s="134"/>
    </row>
    <row r="18" spans="1:12" ht="21" customHeight="1">
      <c r="A18" s="147"/>
      <c r="B18" s="146"/>
      <c r="C18" s="147"/>
      <c r="D18" s="149"/>
      <c r="E18" s="149"/>
      <c r="F18" s="149"/>
      <c r="G18" s="149"/>
      <c r="H18" s="149"/>
      <c r="I18" s="149"/>
      <c r="J18" s="149"/>
      <c r="K18" s="149"/>
    </row>
    <row r="19" spans="1:12" ht="21" customHeight="1">
      <c r="A19" s="147"/>
      <c r="B19" s="147"/>
      <c r="C19" s="147"/>
      <c r="D19" s="149"/>
      <c r="E19" s="149"/>
      <c r="F19" s="149"/>
      <c r="G19" s="149"/>
      <c r="H19" s="149"/>
      <c r="I19" s="149"/>
      <c r="J19" s="149"/>
      <c r="K19" s="149"/>
    </row>
    <row r="20" spans="1:12" ht="21" customHeight="1">
      <c r="A20" s="147"/>
      <c r="B20" s="147"/>
      <c r="C20" s="147"/>
      <c r="D20" s="149"/>
      <c r="E20" s="149"/>
      <c r="F20" s="149"/>
      <c r="G20" s="149"/>
      <c r="H20" s="149"/>
      <c r="I20" s="149"/>
      <c r="J20" s="149"/>
      <c r="K20" s="149"/>
    </row>
    <row r="21" spans="1:12" ht="21" customHeight="1">
      <c r="A21" s="147"/>
      <c r="B21" s="147"/>
      <c r="C21" s="147"/>
      <c r="D21" s="149"/>
      <c r="E21" s="149"/>
      <c r="F21" s="149"/>
      <c r="G21" s="149"/>
      <c r="H21" s="149"/>
      <c r="I21" s="149"/>
      <c r="J21" s="149"/>
      <c r="K21" s="149"/>
    </row>
    <row r="22" spans="1:12" ht="21" customHeight="1">
      <c r="A22" s="147"/>
      <c r="B22" s="147"/>
      <c r="C22" s="147"/>
      <c r="D22" s="149"/>
      <c r="E22" s="149"/>
      <c r="F22" s="149"/>
      <c r="G22" s="149"/>
      <c r="H22" s="149"/>
      <c r="I22" s="149"/>
      <c r="J22" s="149"/>
      <c r="K22" s="149"/>
    </row>
    <row r="23" spans="1:12" ht="21" customHeight="1">
      <c r="A23" s="147"/>
      <c r="B23" s="147"/>
      <c r="C23" s="147"/>
      <c r="D23" s="149"/>
      <c r="E23" s="149"/>
      <c r="F23" s="149"/>
      <c r="G23" s="149"/>
      <c r="H23" s="149"/>
      <c r="I23" s="149"/>
      <c r="J23" s="149"/>
      <c r="K23" s="149"/>
    </row>
    <row r="24" spans="1:12" ht="21" customHeight="1">
      <c r="A24" s="147"/>
      <c r="B24" s="147"/>
      <c r="C24" s="147"/>
      <c r="D24" s="149"/>
      <c r="E24" s="149"/>
      <c r="F24" s="149"/>
      <c r="G24" s="149"/>
      <c r="H24" s="149"/>
      <c r="I24" s="149"/>
      <c r="J24" s="149"/>
      <c r="K24" s="149"/>
    </row>
    <row r="25" spans="1:12" ht="21" customHeight="1">
      <c r="A25" s="147"/>
      <c r="B25" s="147"/>
      <c r="C25" s="147"/>
      <c r="D25" s="149"/>
      <c r="E25" s="149"/>
      <c r="F25" s="149"/>
      <c r="G25" s="149"/>
      <c r="H25" s="149"/>
      <c r="I25" s="149"/>
      <c r="J25" s="149"/>
      <c r="K25" s="149"/>
    </row>
    <row r="26" spans="1:12" ht="21" customHeight="1">
      <c r="A26" s="147"/>
      <c r="B26" s="147"/>
      <c r="C26" s="147"/>
      <c r="D26" s="149"/>
      <c r="E26" s="149"/>
      <c r="F26" s="149"/>
      <c r="G26" s="149"/>
      <c r="H26" s="149"/>
      <c r="I26" s="149"/>
      <c r="J26" s="149"/>
      <c r="K26" s="149"/>
    </row>
    <row r="27" spans="1:12" ht="21" customHeight="1">
      <c r="A27" s="147"/>
      <c r="B27" s="147"/>
      <c r="C27" s="147"/>
      <c r="D27" s="149"/>
      <c r="E27" s="149"/>
      <c r="F27" s="149"/>
      <c r="G27" s="149"/>
      <c r="H27" s="149"/>
      <c r="I27" s="149"/>
      <c r="J27" s="149"/>
      <c r="K27" s="149"/>
    </row>
    <row r="28" spans="1:12" ht="21" customHeight="1">
      <c r="A28" s="147" t="s">
        <v>273</v>
      </c>
      <c r="B28" s="147"/>
      <c r="C28" s="147"/>
      <c r="D28" s="149"/>
      <c r="E28" s="149"/>
      <c r="F28" s="149"/>
      <c r="G28" s="149"/>
      <c r="H28" s="149"/>
      <c r="I28" s="149"/>
      <c r="J28" s="149"/>
      <c r="K28" s="149"/>
    </row>
    <row r="29" spans="1:12" ht="21" customHeight="1">
      <c r="A29" s="147"/>
      <c r="B29" s="147"/>
      <c r="C29" s="147"/>
      <c r="D29" s="149"/>
      <c r="E29" s="149"/>
      <c r="F29" s="149"/>
      <c r="G29" s="149"/>
      <c r="H29" s="149"/>
      <c r="I29" s="149"/>
      <c r="J29" s="149"/>
      <c r="K29" s="149"/>
    </row>
    <row r="30" spans="1:12" ht="21" customHeight="1">
      <c r="A30" s="147"/>
      <c r="B30" s="147"/>
      <c r="C30" s="147"/>
      <c r="D30" s="149"/>
      <c r="E30" s="149"/>
      <c r="F30" s="149"/>
      <c r="G30" s="149"/>
      <c r="H30" s="149"/>
      <c r="I30" s="149"/>
      <c r="J30" s="149"/>
      <c r="K30" s="149"/>
    </row>
    <row r="31" spans="1:12" ht="21" customHeight="1">
      <c r="A31" s="147"/>
      <c r="B31" s="147"/>
      <c r="C31" s="147"/>
      <c r="D31" s="149"/>
      <c r="E31" s="149"/>
      <c r="F31" s="149"/>
      <c r="G31" s="149"/>
      <c r="H31" s="149"/>
      <c r="I31" s="149"/>
      <c r="J31" s="149"/>
      <c r="K31" s="149"/>
    </row>
    <row r="32" spans="1:12" ht="21" customHeight="1">
      <c r="A32" s="147"/>
      <c r="B32" s="147"/>
      <c r="C32" s="147"/>
      <c r="D32" s="149"/>
      <c r="E32" s="149"/>
      <c r="F32" s="149"/>
      <c r="G32" s="149"/>
      <c r="H32" s="149"/>
      <c r="I32" s="149"/>
      <c r="J32" s="149"/>
      <c r="K32" s="149"/>
    </row>
    <row r="33" spans="1:11" ht="21" customHeight="1">
      <c r="A33" s="147"/>
      <c r="B33" s="147"/>
      <c r="C33" s="147"/>
      <c r="D33" s="149"/>
      <c r="E33" s="149"/>
      <c r="F33" s="149"/>
      <c r="G33" s="149"/>
      <c r="H33" s="149"/>
      <c r="I33" s="149"/>
      <c r="J33" s="149"/>
      <c r="K33" s="149"/>
    </row>
    <row r="34" spans="1:11" ht="21" customHeight="1">
      <c r="A34" s="147"/>
      <c r="B34" s="147"/>
      <c r="C34" s="147"/>
      <c r="D34" s="149"/>
      <c r="E34" s="149"/>
      <c r="F34" s="149"/>
      <c r="G34" s="149"/>
      <c r="H34" s="149"/>
      <c r="I34" s="149"/>
      <c r="J34" s="149"/>
      <c r="K34" s="149"/>
    </row>
    <row r="35" spans="1:11" ht="21" customHeight="1">
      <c r="A35" s="147"/>
      <c r="B35" s="147"/>
      <c r="C35" s="147"/>
      <c r="D35" s="149"/>
      <c r="E35" s="149"/>
      <c r="F35" s="149"/>
      <c r="G35" s="149"/>
      <c r="H35" s="149"/>
      <c r="I35" s="149"/>
      <c r="J35" s="149"/>
      <c r="K35" s="149"/>
    </row>
    <row r="36" spans="1:11" ht="21" customHeight="1">
      <c r="D36" s="150"/>
      <c r="E36" s="150"/>
      <c r="F36" s="150"/>
      <c r="G36" s="150"/>
      <c r="H36" s="150"/>
      <c r="I36" s="150"/>
      <c r="J36" s="150"/>
      <c r="K36" s="150"/>
    </row>
  </sheetData>
  <mergeCells count="2">
    <mergeCell ref="A1:K1"/>
    <mergeCell ref="A3:K3"/>
  </mergeCells>
  <printOptions horizontalCentered="1" gridLines="1"/>
  <pageMargins left="0.75" right="0.75" top="0.66" bottom="0.28999999999999998" header="0.23" footer="0.44"/>
  <pageSetup paperSize="9" scale="78" orientation="landscape" r:id="rId1"/>
  <headerFooter alignWithMargins="0"/>
  <ignoredErrors>
    <ignoredError sqref="B16 B14:C14 D14:K15 C16:K16" formula="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C7857-6FD4-476F-9071-1DD8E810A52F}">
  <sheetPr codeName="Sheet17"/>
  <dimension ref="A1:G25"/>
  <sheetViews>
    <sheetView showGridLines="0" workbookViewId="0">
      <selection activeCell="F23" sqref="F23"/>
    </sheetView>
  </sheetViews>
  <sheetFormatPr defaultRowHeight="15"/>
  <cols>
    <col min="2" max="2" width="63.7109375" bestFit="1" customWidth="1"/>
    <col min="3" max="3" width="16.7109375" bestFit="1" customWidth="1"/>
    <col min="4" max="4" width="19.28515625" bestFit="1" customWidth="1"/>
  </cols>
  <sheetData>
    <row r="1" spans="2:7">
      <c r="B1" s="1107" t="s">
        <v>455</v>
      </c>
      <c r="C1" s="1108"/>
      <c r="D1" s="1108"/>
      <c r="E1" s="1108"/>
      <c r="F1" s="1108"/>
      <c r="G1" s="1109"/>
    </row>
    <row r="2" spans="2:7">
      <c r="B2" s="505" t="s">
        <v>259</v>
      </c>
      <c r="D2" s="506">
        <v>1</v>
      </c>
      <c r="E2" s="506">
        <v>1</v>
      </c>
      <c r="F2" s="506">
        <v>1</v>
      </c>
      <c r="G2" s="507">
        <v>1</v>
      </c>
    </row>
    <row r="3" spans="2:7">
      <c r="B3" s="1110" t="s">
        <v>260</v>
      </c>
      <c r="C3" s="1111"/>
      <c r="G3" s="594"/>
    </row>
    <row r="4" spans="2:7">
      <c r="B4" s="505"/>
      <c r="C4" s="134" t="s">
        <v>264</v>
      </c>
      <c r="D4" s="595">
        <v>1</v>
      </c>
      <c r="E4" s="595">
        <v>2</v>
      </c>
      <c r="F4" s="595">
        <v>3</v>
      </c>
      <c r="G4" s="596">
        <v>4</v>
      </c>
    </row>
    <row r="5" spans="2:7">
      <c r="B5" s="505" t="s">
        <v>300</v>
      </c>
      <c r="C5" s="146">
        <f>'Cashflow 350 KTPA'!K11</f>
        <v>3094.3312153271104</v>
      </c>
      <c r="D5" s="146">
        <f>C5-C5*0.11</f>
        <v>2753.9547816411282</v>
      </c>
      <c r="E5" s="146">
        <f>'Cashflow 350 KTPA'!K11</f>
        <v>3094.3312153271104</v>
      </c>
      <c r="F5" s="146">
        <f>C5-C5*0.05</f>
        <v>2939.6146545607548</v>
      </c>
      <c r="G5" s="527">
        <f>'Cashflow 350 KTPA'!K11</f>
        <v>3094.3312153271104</v>
      </c>
    </row>
    <row r="6" spans="2:7">
      <c r="B6" s="505" t="s">
        <v>446</v>
      </c>
      <c r="C6" s="146">
        <f t="shared" ref="C6" si="0">SUM(C7:C12)</f>
        <v>1402.011308983919</v>
      </c>
      <c r="D6" s="146">
        <f>SUM(D7:D12)</f>
        <v>1402.011308983919</v>
      </c>
      <c r="E6" s="146">
        <f t="shared" ref="E6:F6" si="1">SUM(E7:E12)</f>
        <v>1550.8289120055335</v>
      </c>
      <c r="F6" s="146">
        <f t="shared" si="1"/>
        <v>1483.1845469957086</v>
      </c>
      <c r="G6" s="527">
        <f>C6+C6*0.145</f>
        <v>1605.3029487865872</v>
      </c>
    </row>
    <row r="7" spans="2:7">
      <c r="B7" s="52" t="s">
        <v>28</v>
      </c>
      <c r="C7" s="146">
        <f>'Cashflow 350 KTPA'!K14</f>
        <v>901.92486679766364</v>
      </c>
      <c r="D7" s="146">
        <f>'Cashflow 350 KTPA'!K14</f>
        <v>901.92486679766364</v>
      </c>
      <c r="E7" s="146">
        <f>C7+C7*0.165</f>
        <v>1050.7424698192781</v>
      </c>
      <c r="F7" s="146">
        <f>C7+C7*0.09</f>
        <v>983.09810480945339</v>
      </c>
      <c r="G7" s="527">
        <f>'Cashflow 350 KTPA'!K14</f>
        <v>901.92486679766364</v>
      </c>
    </row>
    <row r="8" spans="2:7">
      <c r="B8" s="52" t="s">
        <v>328</v>
      </c>
      <c r="C8" s="146">
        <f>'Cashflow 350 KTPA'!K15</f>
        <v>122.37270002993542</v>
      </c>
      <c r="D8" s="146">
        <f>'Cashflow 350 KTPA'!K15</f>
        <v>122.37270002993542</v>
      </c>
      <c r="E8" s="146">
        <f>'Cashflow 350 KTPA'!K15</f>
        <v>122.37270002993542</v>
      </c>
      <c r="F8" s="146">
        <f>'Cashflow 350 KTPA'!K15</f>
        <v>122.37270002993542</v>
      </c>
      <c r="G8" s="527">
        <f>'Cashflow 350 KTPA'!K15</f>
        <v>122.37270002993542</v>
      </c>
    </row>
    <row r="9" spans="2:7">
      <c r="B9" s="52" t="s">
        <v>29</v>
      </c>
      <c r="C9" s="146">
        <f>'Cashflow 350 KTPA'!K16</f>
        <v>30.708780423749996</v>
      </c>
      <c r="D9" s="146">
        <f>'Cashflow 350 KTPA'!K16</f>
        <v>30.708780423749996</v>
      </c>
      <c r="E9" s="146">
        <f>'Cashflow 350 KTPA'!K16</f>
        <v>30.708780423749996</v>
      </c>
      <c r="F9" s="146">
        <f>'Cashflow 350 KTPA'!K16</f>
        <v>30.708780423749996</v>
      </c>
      <c r="G9" s="527">
        <f>'Cashflow 350 KTPA'!K16</f>
        <v>30.708780423749996</v>
      </c>
    </row>
    <row r="10" spans="2:7">
      <c r="B10" s="52" t="s">
        <v>17</v>
      </c>
      <c r="C10" s="146">
        <f>'Cashflow 350 KTPA'!K17</f>
        <v>179.39131484999996</v>
      </c>
      <c r="D10" s="146">
        <f>'Cashflow 350 KTPA'!K17</f>
        <v>179.39131484999996</v>
      </c>
      <c r="E10" s="146">
        <f>'Cashflow 350 KTPA'!K17</f>
        <v>179.39131484999996</v>
      </c>
      <c r="F10" s="146">
        <f>'Cashflow 350 KTPA'!K17</f>
        <v>179.39131484999996</v>
      </c>
      <c r="G10" s="527">
        <f>'Cashflow 350 KTPA'!K17</f>
        <v>179.39131484999996</v>
      </c>
    </row>
    <row r="11" spans="2:7">
      <c r="B11" s="52" t="s">
        <v>20</v>
      </c>
      <c r="C11" s="146">
        <f>'Cashflow 350 KTPA'!K18</f>
        <v>78.842457207074617</v>
      </c>
      <c r="D11" s="146">
        <f>'Cashflow 350 KTPA'!K18</f>
        <v>78.842457207074617</v>
      </c>
      <c r="E11" s="146">
        <f>'Cashflow 350 KTPA'!K18</f>
        <v>78.842457207074617</v>
      </c>
      <c r="F11" s="146">
        <f>'Cashflow 350 KTPA'!K18</f>
        <v>78.842457207074617</v>
      </c>
      <c r="G11" s="527">
        <f>'Cashflow 350 KTPA'!K18</f>
        <v>78.842457207074617</v>
      </c>
    </row>
    <row r="12" spans="2:7">
      <c r="B12" s="52" t="s">
        <v>21</v>
      </c>
      <c r="C12" s="146">
        <f>'Cashflow 350 KTPA'!K19</f>
        <v>88.771189675495322</v>
      </c>
      <c r="D12" s="146">
        <f>'Cashflow 350 KTPA'!K19</f>
        <v>88.771189675495322</v>
      </c>
      <c r="E12" s="146">
        <f>'Cashflow 350 KTPA'!K19</f>
        <v>88.771189675495322</v>
      </c>
      <c r="F12" s="146">
        <f>'Cashflow 350 KTPA'!K19</f>
        <v>88.771189675495322</v>
      </c>
      <c r="G12" s="527">
        <f>'Cashflow 350 KTPA'!K19</f>
        <v>88.771189675495322</v>
      </c>
    </row>
    <row r="13" spans="2:7">
      <c r="B13" s="505" t="s">
        <v>447</v>
      </c>
      <c r="C13" s="146">
        <f t="shared" ref="C13:D13" si="2">C5-C6</f>
        <v>1692.3199063431914</v>
      </c>
      <c r="D13" s="146">
        <f t="shared" si="2"/>
        <v>1351.9434726572092</v>
      </c>
      <c r="E13" s="146">
        <f t="shared" ref="E13:G13" si="3">E5-E6</f>
        <v>1543.5023033215768</v>
      </c>
      <c r="F13" s="146">
        <f t="shared" si="3"/>
        <v>1456.4301075650462</v>
      </c>
      <c r="G13" s="527">
        <f t="shared" si="3"/>
        <v>1489.0282665405232</v>
      </c>
    </row>
    <row r="14" spans="2:7">
      <c r="B14" s="505" t="s">
        <v>453</v>
      </c>
      <c r="C14" s="146">
        <f>'Cashflow 350 KTPA'!$G$8/10</f>
        <v>415.94497678079995</v>
      </c>
      <c r="D14" s="146">
        <f>'Cashflow 350 KTPA'!$G$8/10</f>
        <v>415.94497678079995</v>
      </c>
      <c r="E14" s="146">
        <f>'Cashflow 350 KTPA'!$G$8/10</f>
        <v>415.94497678079995</v>
      </c>
      <c r="F14" s="146">
        <f>'Cashflow 350 KTPA'!$G$8/10</f>
        <v>415.94497678079995</v>
      </c>
      <c r="G14" s="527">
        <f>'Cashflow 350 KTPA'!$G$8/10</f>
        <v>415.94497678079995</v>
      </c>
    </row>
    <row r="15" spans="2:7">
      <c r="B15" s="505" t="s">
        <v>454</v>
      </c>
      <c r="C15" s="146">
        <f t="shared" ref="C15:D15" si="4">C13-C14</f>
        <v>1276.3749295623916</v>
      </c>
      <c r="D15" s="146">
        <f t="shared" si="4"/>
        <v>935.99849587640927</v>
      </c>
      <c r="E15" s="146">
        <f t="shared" ref="E15:G15" si="5">E13-E14</f>
        <v>1127.557326540777</v>
      </c>
      <c r="F15" s="146">
        <f t="shared" si="5"/>
        <v>1040.4851307842464</v>
      </c>
      <c r="G15" s="527">
        <f t="shared" si="5"/>
        <v>1073.0832897597234</v>
      </c>
    </row>
    <row r="16" spans="2:7">
      <c r="B16" s="505" t="s">
        <v>271</v>
      </c>
      <c r="C16" s="146">
        <f t="shared" ref="C16:D16" si="6">C15*0.2517</f>
        <v>321.26356977085391</v>
      </c>
      <c r="D16" s="146">
        <f t="shared" si="6"/>
        <v>235.5908214120922</v>
      </c>
      <c r="E16" s="146">
        <f t="shared" ref="E16:G16" si="7">E15*0.2517</f>
        <v>283.80617909031355</v>
      </c>
      <c r="F16" s="146">
        <f t="shared" si="7"/>
        <v>261.89010741839479</v>
      </c>
      <c r="G16" s="527">
        <f t="shared" si="7"/>
        <v>270.09506403252237</v>
      </c>
    </row>
    <row r="17" spans="1:7">
      <c r="B17" s="509" t="s">
        <v>272</v>
      </c>
      <c r="C17" s="528">
        <f t="shared" ref="C17" si="8">C15-C16</f>
        <v>955.11135979153767</v>
      </c>
      <c r="D17" s="528">
        <f>C22</f>
        <v>714.5</v>
      </c>
      <c r="E17" s="528">
        <f t="shared" ref="E17:G17" si="9">E15-E16</f>
        <v>843.75114745046346</v>
      </c>
      <c r="F17" s="528">
        <f t="shared" si="9"/>
        <v>778.5950233658516</v>
      </c>
      <c r="G17" s="529">
        <f t="shared" si="9"/>
        <v>802.98822572720098</v>
      </c>
    </row>
    <row r="18" spans="1:7">
      <c r="D18" s="597"/>
      <c r="E18" s="597"/>
      <c r="F18" s="597"/>
      <c r="G18" s="597"/>
    </row>
    <row r="19" spans="1:7">
      <c r="A19" s="526" t="s">
        <v>117</v>
      </c>
      <c r="B19" s="1113" t="s">
        <v>570</v>
      </c>
      <c r="C19" s="1114"/>
      <c r="D19" s="1114"/>
    </row>
    <row r="20" spans="1:7">
      <c r="A20" s="523"/>
      <c r="B20" s="343" t="s">
        <v>362</v>
      </c>
      <c r="C20" s="344" t="s">
        <v>272</v>
      </c>
      <c r="D20" s="601" t="s">
        <v>498</v>
      </c>
    </row>
    <row r="21" spans="1:7">
      <c r="A21" s="524"/>
      <c r="B21" s="345" t="s">
        <v>497</v>
      </c>
      <c r="C21" s="598">
        <f>C17</f>
        <v>955.11135979153767</v>
      </c>
      <c r="D21" s="602" t="s">
        <v>499</v>
      </c>
    </row>
    <row r="22" spans="1:7">
      <c r="A22" s="524">
        <v>1</v>
      </c>
      <c r="B22" s="345" t="s">
        <v>364</v>
      </c>
      <c r="C22" s="599">
        <v>714.5</v>
      </c>
      <c r="D22" s="963">
        <f>(C22-$C$21)/$C$21</f>
        <v>-0.25191969221688815</v>
      </c>
    </row>
    <row r="23" spans="1:7">
      <c r="A23" s="524">
        <v>2</v>
      </c>
      <c r="B23" s="345" t="s">
        <v>365</v>
      </c>
      <c r="C23" s="599">
        <f>E17</f>
        <v>843.75114745046346</v>
      </c>
      <c r="D23" s="963">
        <f t="shared" ref="D23:D25" si="10">(C23-$C$21)/$C$21</f>
        <v>-0.11659395650511334</v>
      </c>
    </row>
    <row r="24" spans="1:7">
      <c r="A24" s="524">
        <v>3</v>
      </c>
      <c r="B24" s="345" t="s">
        <v>366</v>
      </c>
      <c r="C24" s="599">
        <f>F17</f>
        <v>778.5950233658516</v>
      </c>
      <c r="D24" s="963">
        <f t="shared" si="10"/>
        <v>-0.18481230970199378</v>
      </c>
    </row>
    <row r="25" spans="1:7">
      <c r="A25" s="525">
        <v>4</v>
      </c>
      <c r="B25" s="349" t="s">
        <v>367</v>
      </c>
      <c r="C25" s="600">
        <f>G17</f>
        <v>802.98822572720098</v>
      </c>
      <c r="D25" s="964">
        <f t="shared" si="10"/>
        <v>-0.15927266753223313</v>
      </c>
    </row>
  </sheetData>
  <mergeCells count="3">
    <mergeCell ref="B3:C3"/>
    <mergeCell ref="B1:G1"/>
    <mergeCell ref="B19:D19"/>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0E56A-8EFD-4474-8694-3D6AB2C8D4FD}">
  <sheetPr codeName="Sheet5"/>
  <dimension ref="A1:Q41"/>
  <sheetViews>
    <sheetView showGridLines="0" topLeftCell="G1" zoomScale="89" zoomScaleNormal="89" workbookViewId="0">
      <selection activeCell="J10" sqref="J10"/>
    </sheetView>
  </sheetViews>
  <sheetFormatPr defaultRowHeight="12.75"/>
  <cols>
    <col min="1" max="1" width="13" style="1" hidden="1" customWidth="1"/>
    <col min="2" max="2" width="31.42578125" style="1" hidden="1" customWidth="1"/>
    <col min="3" max="3" width="22.140625" style="1" hidden="1" customWidth="1"/>
    <col min="4" max="4" width="21.28515625" style="1" hidden="1" customWidth="1"/>
    <col min="5" max="5" width="22.28515625" style="1" hidden="1" customWidth="1"/>
    <col min="6" max="6" width="0" style="1" hidden="1" customWidth="1"/>
    <col min="7" max="7" width="9.140625" style="1"/>
    <col min="8" max="8" width="38.85546875" style="1" bestFit="1" customWidth="1"/>
    <col min="9" max="9" width="11.5703125" style="1" bestFit="1" customWidth="1"/>
    <col min="10" max="10" width="22.140625" style="1" customWidth="1"/>
    <col min="11" max="11" width="14.140625" style="1" customWidth="1"/>
    <col min="12" max="13" width="9.140625" style="1"/>
    <col min="14" max="14" width="20.42578125" style="1" customWidth="1"/>
    <col min="15" max="15" width="16" style="1" customWidth="1"/>
    <col min="16" max="16" width="16.7109375" style="1" customWidth="1"/>
    <col min="17" max="17" width="29.7109375" style="1" customWidth="1"/>
    <col min="18" max="16384" width="9.140625" style="1"/>
  </cols>
  <sheetData>
    <row r="1" spans="1:17" ht="15.75" customHeight="1">
      <c r="A1" s="1115" t="e">
        <f>#REF!</f>
        <v>#REF!</v>
      </c>
      <c r="B1" s="1116"/>
      <c r="C1" s="1116"/>
      <c r="D1" s="1116"/>
      <c r="E1" s="1116"/>
      <c r="G1" s="1115" t="s">
        <v>375</v>
      </c>
      <c r="H1" s="1116"/>
      <c r="I1" s="1116"/>
      <c r="J1" s="1116"/>
      <c r="K1" s="1116"/>
      <c r="M1" s="1115" t="s">
        <v>354</v>
      </c>
      <c r="N1" s="1116"/>
      <c r="O1" s="1116"/>
      <c r="P1" s="1116"/>
      <c r="Q1" s="1116"/>
    </row>
    <row r="2" spans="1:17" ht="8.25" customHeight="1">
      <c r="A2" s="1117"/>
      <c r="B2" s="1118"/>
      <c r="C2" s="1118"/>
      <c r="D2" s="1118"/>
      <c r="E2" s="1118"/>
      <c r="G2" s="1117"/>
      <c r="H2" s="1118"/>
      <c r="I2" s="1118"/>
      <c r="J2" s="1118"/>
      <c r="K2" s="1118"/>
      <c r="M2" s="1117"/>
      <c r="N2" s="1118"/>
      <c r="O2" s="1118"/>
      <c r="P2" s="1118"/>
      <c r="Q2" s="1118"/>
    </row>
    <row r="3" spans="1:17">
      <c r="A3" s="1119"/>
      <c r="B3" s="1116"/>
      <c r="C3" s="37" t="s">
        <v>76</v>
      </c>
      <c r="D3" s="37" t="s">
        <v>77</v>
      </c>
      <c r="E3" s="38" t="s">
        <v>78</v>
      </c>
      <c r="G3" s="1119"/>
      <c r="H3" s="1116"/>
      <c r="I3" s="37" t="s">
        <v>76</v>
      </c>
      <c r="J3" s="37" t="s">
        <v>77</v>
      </c>
      <c r="K3" s="38" t="s">
        <v>78</v>
      </c>
      <c r="M3" s="1119"/>
      <c r="N3" s="1116"/>
      <c r="O3" s="37" t="s">
        <v>76</v>
      </c>
      <c r="P3" s="37" t="s">
        <v>77</v>
      </c>
      <c r="Q3" s="38" t="s">
        <v>78</v>
      </c>
    </row>
    <row r="4" spans="1:17">
      <c r="A4" s="1120"/>
      <c r="B4" s="1118"/>
      <c r="C4" s="39" t="s">
        <v>79</v>
      </c>
      <c r="D4" s="39" t="s">
        <v>143</v>
      </c>
      <c r="E4" s="40" t="s">
        <v>118</v>
      </c>
      <c r="G4" s="1120"/>
      <c r="H4" s="1118"/>
      <c r="I4" s="39" t="s">
        <v>79</v>
      </c>
      <c r="J4" s="39" t="s">
        <v>143</v>
      </c>
      <c r="K4" s="40" t="s">
        <v>118</v>
      </c>
      <c r="M4" s="1120"/>
      <c r="N4" s="1118"/>
      <c r="O4" s="39" t="s">
        <v>79</v>
      </c>
      <c r="P4" s="39" t="s">
        <v>143</v>
      </c>
      <c r="Q4" s="40" t="s">
        <v>118</v>
      </c>
    </row>
    <row r="5" spans="1:17">
      <c r="A5" s="27"/>
      <c r="B5" s="23"/>
      <c r="C5" s="23"/>
      <c r="D5" s="23"/>
      <c r="E5" s="28"/>
      <c r="G5" s="27"/>
      <c r="H5" s="23"/>
      <c r="I5" s="23"/>
      <c r="J5" s="23"/>
      <c r="K5" s="28"/>
      <c r="M5" s="27"/>
      <c r="N5" s="23"/>
      <c r="O5" s="23"/>
      <c r="P5" s="23"/>
      <c r="Q5" s="28"/>
    </row>
    <row r="6" spans="1:17">
      <c r="A6" s="29" t="s">
        <v>53</v>
      </c>
      <c r="B6" s="22" t="s">
        <v>80</v>
      </c>
      <c r="C6" s="23"/>
      <c r="D6" s="23"/>
      <c r="E6" s="28"/>
      <c r="G6" s="29" t="s">
        <v>53</v>
      </c>
      <c r="H6" s="22" t="s">
        <v>80</v>
      </c>
      <c r="I6" s="23"/>
      <c r="J6" s="23"/>
      <c r="K6" s="28"/>
      <c r="M6" s="29" t="s">
        <v>53</v>
      </c>
      <c r="N6" s="22" t="s">
        <v>80</v>
      </c>
      <c r="O6" s="23"/>
      <c r="P6" s="23"/>
      <c r="Q6" s="28"/>
    </row>
    <row r="7" spans="1:17">
      <c r="A7" s="27">
        <v>1</v>
      </c>
      <c r="B7" s="25" t="s">
        <v>99</v>
      </c>
      <c r="C7" s="23"/>
      <c r="D7" s="23"/>
      <c r="E7" s="28"/>
      <c r="G7" s="27">
        <v>1</v>
      </c>
      <c r="H7" s="25" t="s">
        <v>99</v>
      </c>
      <c r="I7" s="23"/>
      <c r="J7" s="23"/>
      <c r="K7" s="28"/>
      <c r="M7" s="27">
        <v>1</v>
      </c>
      <c r="N7" s="25" t="s">
        <v>99</v>
      </c>
      <c r="O7" s="23"/>
      <c r="P7" s="23"/>
      <c r="Q7" s="28"/>
    </row>
    <row r="8" spans="1:17">
      <c r="A8" s="27" t="s">
        <v>81</v>
      </c>
      <c r="B8" s="23" t="s">
        <v>146</v>
      </c>
      <c r="C8" s="24" t="e">
        <f>#REF!*1000</f>
        <v>#REF!</v>
      </c>
      <c r="D8" s="24" t="e">
        <f>#REF!</f>
        <v>#REF!</v>
      </c>
      <c r="E8" s="35" t="e">
        <f>(C8*D8)/10^7</f>
        <v>#REF!</v>
      </c>
      <c r="G8" s="27" t="s">
        <v>81</v>
      </c>
      <c r="H8" s="23" t="s">
        <v>146</v>
      </c>
      <c r="I8" s="24">
        <v>161200</v>
      </c>
      <c r="J8" s="24" t="e">
        <f>#REF!</f>
        <v>#REF!</v>
      </c>
      <c r="K8" s="35" t="e">
        <f>(I8*J8)/10^7</f>
        <v>#REF!</v>
      </c>
      <c r="M8" s="27" t="s">
        <v>81</v>
      </c>
      <c r="N8" s="23" t="s">
        <v>146</v>
      </c>
      <c r="O8" s="24">
        <v>161200</v>
      </c>
      <c r="P8" s="24" t="e">
        <f>#REF!</f>
        <v>#REF!</v>
      </c>
      <c r="Q8" s="35" t="e">
        <f>(O8*P8)/10^7</f>
        <v>#REF!</v>
      </c>
    </row>
    <row r="9" spans="1:17">
      <c r="A9" s="27"/>
      <c r="B9" s="23" t="s">
        <v>140</v>
      </c>
      <c r="C9" s="24">
        <v>206500</v>
      </c>
      <c r="D9" s="24">
        <v>5900</v>
      </c>
      <c r="E9" s="35">
        <f>(C9*D9)/10^7</f>
        <v>121.83499999999999</v>
      </c>
      <c r="G9" s="27"/>
      <c r="H9" s="23" t="s">
        <v>140</v>
      </c>
      <c r="I9" s="24">
        <v>206500</v>
      </c>
      <c r="J9" s="24">
        <v>5900</v>
      </c>
      <c r="K9" s="35">
        <f>(I9*J9)/10^7</f>
        <v>121.83499999999999</v>
      </c>
      <c r="M9" s="27"/>
      <c r="N9" s="23" t="s">
        <v>140</v>
      </c>
      <c r="O9" s="24">
        <v>206500</v>
      </c>
      <c r="P9" s="24">
        <v>5900</v>
      </c>
      <c r="Q9" s="35">
        <f>(O9*P9)/10^7</f>
        <v>121.83499999999999</v>
      </c>
    </row>
    <row r="10" spans="1:17">
      <c r="A10" s="27"/>
      <c r="B10" s="23"/>
      <c r="C10" s="24"/>
      <c r="D10" s="24"/>
      <c r="E10" s="35"/>
      <c r="G10" s="27"/>
      <c r="H10" s="23" t="s">
        <v>141</v>
      </c>
      <c r="I10" s="24">
        <v>49000</v>
      </c>
      <c r="J10" s="24">
        <v>5550</v>
      </c>
      <c r="K10" s="35">
        <f>(I10*J10)/10^7</f>
        <v>27.195</v>
      </c>
      <c r="M10" s="27"/>
      <c r="N10" s="23" t="s">
        <v>105</v>
      </c>
      <c r="O10" s="24">
        <v>200000</v>
      </c>
      <c r="P10" s="24">
        <v>27800</v>
      </c>
      <c r="Q10" s="35">
        <f>(O10*P10)/10^7</f>
        <v>556</v>
      </c>
    </row>
    <row r="11" spans="1:17">
      <c r="A11" s="27"/>
      <c r="B11" s="23" t="s">
        <v>2</v>
      </c>
      <c r="C11" s="24">
        <v>91750</v>
      </c>
      <c r="D11" s="24" t="e">
        <f>#REF!</f>
        <v>#REF!</v>
      </c>
      <c r="E11" s="35" t="e">
        <f>(C11*D11)/10^7</f>
        <v>#REF!</v>
      </c>
      <c r="G11" s="27"/>
      <c r="H11" s="23" t="s">
        <v>82</v>
      </c>
      <c r="I11" s="23"/>
      <c r="J11" s="23"/>
      <c r="K11" s="36" t="e">
        <f>SUM(K8:K10)</f>
        <v>#REF!</v>
      </c>
      <c r="M11" s="27"/>
      <c r="N11" s="23" t="s">
        <v>141</v>
      </c>
      <c r="O11" s="24">
        <v>49000</v>
      </c>
      <c r="P11" s="24">
        <v>5550</v>
      </c>
      <c r="Q11" s="35">
        <f>(O11*P11)/10^7</f>
        <v>27.195</v>
      </c>
    </row>
    <row r="12" spans="1:17">
      <c r="A12" s="27"/>
      <c r="B12" s="23" t="s">
        <v>3</v>
      </c>
      <c r="C12" s="24" t="e">
        <f>#REF!*1000</f>
        <v>#REF!</v>
      </c>
      <c r="D12" s="24">
        <v>57220</v>
      </c>
      <c r="E12" s="35" t="e">
        <f>(C12*D12)/10^7</f>
        <v>#REF!</v>
      </c>
      <c r="G12" s="27">
        <v>2</v>
      </c>
      <c r="H12" s="25" t="s">
        <v>100</v>
      </c>
      <c r="I12" s="23"/>
      <c r="J12" s="23"/>
      <c r="K12" s="35">
        <v>39.200000000000003</v>
      </c>
      <c r="M12" s="27"/>
      <c r="N12" s="23" t="s">
        <v>82</v>
      </c>
      <c r="O12" s="23"/>
      <c r="P12" s="23"/>
      <c r="Q12" s="36" t="e">
        <f>SUM(Q8:Q11)</f>
        <v>#REF!</v>
      </c>
    </row>
    <row r="13" spans="1:17">
      <c r="A13" s="27"/>
      <c r="B13" s="23" t="s">
        <v>141</v>
      </c>
      <c r="C13" s="24">
        <v>49000</v>
      </c>
      <c r="D13" s="24">
        <v>5550</v>
      </c>
      <c r="E13" s="35">
        <f>(C13*D13)/10^7</f>
        <v>27.195</v>
      </c>
      <c r="G13" s="27">
        <v>3</v>
      </c>
      <c r="H13" s="25" t="s">
        <v>101</v>
      </c>
      <c r="I13" s="23"/>
      <c r="J13" s="23"/>
      <c r="K13" s="35">
        <f>'Opex PVC'!B71</f>
        <v>0</v>
      </c>
      <c r="M13" s="27">
        <v>2</v>
      </c>
      <c r="N13" s="25" t="s">
        <v>100</v>
      </c>
      <c r="O13" s="23"/>
      <c r="P13" s="23"/>
      <c r="Q13" s="35">
        <v>51.55</v>
      </c>
    </row>
    <row r="14" spans="1:17">
      <c r="A14" s="27"/>
      <c r="B14" s="23" t="s">
        <v>82</v>
      </c>
      <c r="C14" s="23"/>
      <c r="D14" s="23"/>
      <c r="E14" s="36" t="e">
        <f>SUM(E8:E13)</f>
        <v>#REF!</v>
      </c>
      <c r="G14" s="27">
        <v>4</v>
      </c>
      <c r="H14" s="25" t="s">
        <v>102</v>
      </c>
      <c r="I14" s="23"/>
      <c r="J14" s="23"/>
      <c r="K14" s="35">
        <v>118</v>
      </c>
      <c r="M14" s="27">
        <v>3</v>
      </c>
      <c r="N14" s="25" t="s">
        <v>101</v>
      </c>
      <c r="O14" s="23"/>
      <c r="P14" s="23"/>
      <c r="Q14" s="35">
        <f>K13+K13*0.25</f>
        <v>0</v>
      </c>
    </row>
    <row r="15" spans="1:17">
      <c r="A15" s="27">
        <v>2</v>
      </c>
      <c r="B15" s="25" t="s">
        <v>100</v>
      </c>
      <c r="C15" s="23"/>
      <c r="D15" s="23"/>
      <c r="E15" s="35" t="e">
        <f>K12+#REF!</f>
        <v>#REF!</v>
      </c>
      <c r="G15" s="29"/>
      <c r="H15" s="22" t="s">
        <v>83</v>
      </c>
      <c r="I15" s="22"/>
      <c r="J15" s="22"/>
      <c r="K15" s="234" t="e">
        <f>K11+K12+K13+K14</f>
        <v>#REF!</v>
      </c>
      <c r="M15" s="27">
        <v>4</v>
      </c>
      <c r="N15" s="25" t="s">
        <v>102</v>
      </c>
      <c r="O15" s="23"/>
      <c r="P15" s="23"/>
      <c r="Q15" s="35">
        <v>145</v>
      </c>
    </row>
    <row r="16" spans="1:17">
      <c r="A16" s="27">
        <v>3</v>
      </c>
      <c r="B16" s="25" t="s">
        <v>101</v>
      </c>
      <c r="C16" s="23"/>
      <c r="D16" s="23"/>
      <c r="E16" s="35" t="e">
        <f>K13+#REF!</f>
        <v>#REF!</v>
      </c>
      <c r="G16" s="27"/>
      <c r="H16" s="23"/>
      <c r="I16" s="23"/>
      <c r="J16" s="23"/>
      <c r="K16" s="28"/>
      <c r="M16" s="29"/>
      <c r="N16" s="22" t="s">
        <v>83</v>
      </c>
      <c r="O16" s="22"/>
      <c r="P16" s="22"/>
      <c r="Q16" s="234" t="e">
        <f>Q12+Q13+Q14+Q15</f>
        <v>#REF!</v>
      </c>
    </row>
    <row r="17" spans="1:17">
      <c r="A17" s="27">
        <v>4</v>
      </c>
      <c r="B17" s="25" t="s">
        <v>102</v>
      </c>
      <c r="C17" s="23"/>
      <c r="D17" s="23"/>
      <c r="E17" s="35" t="e">
        <f>K14+#REF!</f>
        <v>#REF!</v>
      </c>
      <c r="G17" s="29" t="s">
        <v>70</v>
      </c>
      <c r="H17" s="22" t="s">
        <v>84</v>
      </c>
      <c r="I17" s="23"/>
      <c r="J17" s="23"/>
      <c r="K17" s="28"/>
      <c r="M17" s="27"/>
      <c r="N17" s="23"/>
      <c r="O17" s="23"/>
      <c r="P17" s="23"/>
      <c r="Q17" s="28"/>
    </row>
    <row r="18" spans="1:17">
      <c r="A18" s="29"/>
      <c r="B18" s="22" t="s">
        <v>83</v>
      </c>
      <c r="C18" s="22"/>
      <c r="D18" s="22"/>
      <c r="E18" s="36" t="e">
        <f>E14+E15+E16+E17</f>
        <v>#REF!</v>
      </c>
      <c r="G18" s="27">
        <v>1</v>
      </c>
      <c r="H18" s="25" t="s">
        <v>353</v>
      </c>
      <c r="I18" s="23"/>
      <c r="J18" s="23"/>
      <c r="K18" s="35">
        <f>Capex!D21*0.015</f>
        <v>62.391746517119991</v>
      </c>
      <c r="M18" s="29" t="s">
        <v>70</v>
      </c>
      <c r="N18" s="22" t="s">
        <v>84</v>
      </c>
      <c r="O18" s="23"/>
      <c r="P18" s="23"/>
      <c r="Q18" s="28"/>
    </row>
    <row r="19" spans="1:17">
      <c r="A19" s="27"/>
      <c r="B19" s="23"/>
      <c r="C19" s="23"/>
      <c r="D19" s="23"/>
      <c r="E19" s="28"/>
      <c r="G19" s="27">
        <v>2</v>
      </c>
      <c r="H19" s="25" t="s">
        <v>103</v>
      </c>
      <c r="I19" s="23"/>
      <c r="J19" s="23"/>
      <c r="K19" s="35">
        <f>'Salaries &amp; Wages Calculations'!D8</f>
        <v>26.91</v>
      </c>
      <c r="M19" s="27">
        <v>1</v>
      </c>
      <c r="N19" s="25" t="s">
        <v>353</v>
      </c>
      <c r="O19" s="23"/>
      <c r="P19" s="23"/>
      <c r="Q19" s="35">
        <f>Capex!H21*0.015</f>
        <v>90.801752757119985</v>
      </c>
    </row>
    <row r="20" spans="1:17">
      <c r="A20" s="29" t="s">
        <v>70</v>
      </c>
      <c r="B20" s="22" t="s">
        <v>84</v>
      </c>
      <c r="C20" s="23"/>
      <c r="D20" s="23"/>
      <c r="E20" s="28"/>
      <c r="G20" s="27">
        <v>3</v>
      </c>
      <c r="H20" s="25" t="s">
        <v>104</v>
      </c>
      <c r="I20" s="26">
        <v>1</v>
      </c>
      <c r="J20" s="23"/>
      <c r="K20" s="35">
        <f>K19</f>
        <v>26.91</v>
      </c>
      <c r="M20" s="27">
        <v>2</v>
      </c>
      <c r="N20" s="25" t="s">
        <v>103</v>
      </c>
      <c r="O20" s="23"/>
      <c r="P20" s="23"/>
      <c r="Q20" s="35">
        <f>K19*1.1</f>
        <v>29.601000000000003</v>
      </c>
    </row>
    <row r="21" spans="1:17">
      <c r="A21" s="27">
        <v>1</v>
      </c>
      <c r="B21" s="25" t="s">
        <v>200</v>
      </c>
      <c r="C21" s="23"/>
      <c r="D21" s="23"/>
      <c r="E21" s="35" t="e">
        <f>K18+#REF!</f>
        <v>#REF!</v>
      </c>
      <c r="G21" s="30"/>
      <c r="H21" s="31" t="s">
        <v>85</v>
      </c>
      <c r="I21" s="31"/>
      <c r="J21" s="31"/>
      <c r="K21" s="233">
        <f>SUM(K18:K20)</f>
        <v>116.21174651711999</v>
      </c>
      <c r="M21" s="27">
        <v>3</v>
      </c>
      <c r="N21" s="25" t="s">
        <v>104</v>
      </c>
      <c r="O21" s="26">
        <v>1</v>
      </c>
      <c r="P21" s="23"/>
      <c r="Q21" s="35">
        <f>Q20</f>
        <v>29.601000000000003</v>
      </c>
    </row>
    <row r="22" spans="1:17">
      <c r="A22" s="27">
        <v>2</v>
      </c>
      <c r="B22" s="25" t="s">
        <v>103</v>
      </c>
      <c r="C22" s="23"/>
      <c r="D22" s="23"/>
      <c r="E22" s="35" t="e">
        <f>K19+#REF!</f>
        <v>#REF!</v>
      </c>
      <c r="H22" s="167" t="s">
        <v>369</v>
      </c>
      <c r="K22" s="108" t="e">
        <f>K15+K21</f>
        <v>#REF!</v>
      </c>
      <c r="M22" s="30"/>
      <c r="N22" s="31" t="s">
        <v>85</v>
      </c>
      <c r="O22" s="31"/>
      <c r="P22" s="31"/>
      <c r="Q22" s="233">
        <f>SUM(Q19:Q21)</f>
        <v>150.00375275712</v>
      </c>
    </row>
    <row r="23" spans="1:17">
      <c r="N23" s="167" t="s">
        <v>369</v>
      </c>
      <c r="Q23" s="108" t="e">
        <f>Q16+Q22</f>
        <v>#REF!</v>
      </c>
    </row>
    <row r="27" spans="1:17" ht="38.25">
      <c r="H27" s="109" t="s">
        <v>244</v>
      </c>
    </row>
    <row r="28" spans="1:17">
      <c r="H28" s="111" t="s">
        <v>245</v>
      </c>
      <c r="L28" s="161"/>
    </row>
    <row r="29" spans="1:17">
      <c r="H29" s="111" t="s">
        <v>246</v>
      </c>
      <c r="L29" s="161"/>
    </row>
    <row r="30" spans="1:17">
      <c r="H30" s="111" t="s">
        <v>250</v>
      </c>
      <c r="L30" s="161"/>
    </row>
    <row r="31" spans="1:17">
      <c r="H31" s="111" t="s">
        <v>249</v>
      </c>
      <c r="L31" s="161"/>
    </row>
    <row r="32" spans="1:17">
      <c r="H32" s="111" t="s">
        <v>247</v>
      </c>
      <c r="L32" s="161"/>
    </row>
    <row r="33" spans="8:12" ht="21" customHeight="1">
      <c r="H33" s="110" t="s">
        <v>248</v>
      </c>
      <c r="L33" s="161"/>
    </row>
    <row r="34" spans="8:12">
      <c r="L34" s="161"/>
    </row>
    <row r="35" spans="8:12">
      <c r="L35" s="161"/>
    </row>
    <row r="40" spans="8:12">
      <c r="H40" s="25" t="s">
        <v>255</v>
      </c>
    </row>
    <row r="41" spans="8:12">
      <c r="H41" s="25" t="s">
        <v>256</v>
      </c>
    </row>
  </sheetData>
  <mergeCells count="9">
    <mergeCell ref="M1:Q2"/>
    <mergeCell ref="M3:M4"/>
    <mergeCell ref="N3:N4"/>
    <mergeCell ref="A1:E2"/>
    <mergeCell ref="A3:A4"/>
    <mergeCell ref="B3:B4"/>
    <mergeCell ref="G1:K2"/>
    <mergeCell ref="G3:G4"/>
    <mergeCell ref="H3:H4"/>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41D3F-3B69-4D41-A2DB-E7A71CA372D7}">
  <sheetPr codeName="Sheet28"/>
  <dimension ref="A1:W18"/>
  <sheetViews>
    <sheetView showGridLines="0" zoomScale="93" zoomScaleNormal="93" workbookViewId="0">
      <selection activeCell="D14" sqref="D14"/>
    </sheetView>
  </sheetViews>
  <sheetFormatPr defaultRowHeight="15"/>
  <cols>
    <col min="1" max="1" width="5.140625" customWidth="1"/>
    <col min="2" max="2" width="55.5703125" bestFit="1" customWidth="1"/>
    <col min="3" max="3" width="14.7109375" bestFit="1" customWidth="1"/>
    <col min="4" max="4" width="20.42578125" customWidth="1"/>
    <col min="5" max="12" width="15.7109375" customWidth="1"/>
    <col min="13" max="23" width="9.140625" customWidth="1"/>
  </cols>
  <sheetData>
    <row r="1" spans="1:23">
      <c r="A1" s="1121" t="s">
        <v>484</v>
      </c>
      <c r="B1" s="1121"/>
      <c r="C1" s="1121"/>
      <c r="D1" s="1121"/>
    </row>
    <row r="2" spans="1:23">
      <c r="A2" s="588"/>
      <c r="B2" s="588" t="s">
        <v>485</v>
      </c>
      <c r="C2" s="588"/>
      <c r="D2" s="588" t="s">
        <v>118</v>
      </c>
      <c r="E2" s="496">
        <v>2028</v>
      </c>
      <c r="F2" s="496">
        <v>2029</v>
      </c>
      <c r="G2" s="496">
        <v>2030</v>
      </c>
      <c r="H2" s="496">
        <v>2031</v>
      </c>
      <c r="I2" s="496">
        <v>2032</v>
      </c>
      <c r="J2" s="496">
        <v>2033</v>
      </c>
      <c r="K2" s="496">
        <v>2034</v>
      </c>
      <c r="L2" s="496">
        <v>2035</v>
      </c>
      <c r="M2" s="496">
        <v>2036</v>
      </c>
      <c r="N2" s="496">
        <v>2037</v>
      </c>
      <c r="O2" s="496">
        <v>2038</v>
      </c>
      <c r="P2" s="496">
        <v>2039</v>
      </c>
      <c r="Q2" s="496">
        <v>2040</v>
      </c>
      <c r="R2" s="496">
        <v>2041</v>
      </c>
      <c r="S2" s="496">
        <v>2042</v>
      </c>
      <c r="T2" s="496">
        <v>2043</v>
      </c>
      <c r="U2" s="496">
        <v>2044</v>
      </c>
      <c r="V2" s="496">
        <v>2045</v>
      </c>
      <c r="W2" s="496">
        <v>2046</v>
      </c>
    </row>
    <row r="3" spans="1:23">
      <c r="A3" s="589" t="s">
        <v>486</v>
      </c>
      <c r="B3" s="589" t="s">
        <v>11</v>
      </c>
      <c r="C3" s="589"/>
      <c r="D3" s="108">
        <f>D4+D7+D9+D12</f>
        <v>1581.4014999999999</v>
      </c>
    </row>
    <row r="4" spans="1:23">
      <c r="A4" s="590" t="s">
        <v>487</v>
      </c>
      <c r="B4" s="590" t="s">
        <v>488</v>
      </c>
      <c r="C4" s="590"/>
      <c r="D4" s="591">
        <f>D5+D6</f>
        <v>1342.76</v>
      </c>
      <c r="E4" s="592">
        <f>D4+D4*1.2%</f>
        <v>1358.87312</v>
      </c>
      <c r="F4" s="592">
        <f t="shared" ref="F4:W4" si="0">E4+E4*1.2%</f>
        <v>1375.17959744</v>
      </c>
      <c r="G4" s="592">
        <f t="shared" si="0"/>
        <v>1391.68175260928</v>
      </c>
      <c r="H4" s="592">
        <f t="shared" si="0"/>
        <v>1408.3819336405913</v>
      </c>
      <c r="I4" s="592">
        <f t="shared" si="0"/>
        <v>1425.2825168442785</v>
      </c>
      <c r="J4" s="592">
        <f t="shared" si="0"/>
        <v>1442.3859070464098</v>
      </c>
      <c r="K4" s="592">
        <f t="shared" si="0"/>
        <v>1459.6945379309668</v>
      </c>
      <c r="L4" s="592">
        <f t="shared" si="0"/>
        <v>1477.2108723861384</v>
      </c>
      <c r="M4" s="592">
        <f t="shared" si="0"/>
        <v>1494.937402854772</v>
      </c>
      <c r="N4" s="592">
        <f t="shared" si="0"/>
        <v>1512.8766516890294</v>
      </c>
      <c r="O4" s="592">
        <f t="shared" si="0"/>
        <v>1531.0311715092978</v>
      </c>
      <c r="P4" s="592">
        <f t="shared" si="0"/>
        <v>1549.4035455674093</v>
      </c>
      <c r="Q4" s="592">
        <f t="shared" si="0"/>
        <v>1567.9963881142182</v>
      </c>
      <c r="R4" s="592">
        <f t="shared" si="0"/>
        <v>1586.8123447715889</v>
      </c>
      <c r="S4" s="592">
        <f t="shared" si="0"/>
        <v>1605.8540929088479</v>
      </c>
      <c r="T4" s="592">
        <f t="shared" si="0"/>
        <v>1625.124342023754</v>
      </c>
      <c r="U4" s="592">
        <f>T4+T4*1.2%</f>
        <v>1644.6258341280391</v>
      </c>
      <c r="V4" s="592">
        <f t="shared" si="0"/>
        <v>1664.3613441375755</v>
      </c>
      <c r="W4" s="592">
        <f t="shared" si="0"/>
        <v>1684.3336802672266</v>
      </c>
    </row>
    <row r="5" spans="1:23">
      <c r="A5" s="593">
        <v>1</v>
      </c>
      <c r="B5" s="593" t="s">
        <v>12</v>
      </c>
      <c r="C5" s="593" t="s">
        <v>13</v>
      </c>
      <c r="D5" s="32">
        <v>1248.73</v>
      </c>
    </row>
    <row r="6" spans="1:23">
      <c r="A6" s="593">
        <v>2</v>
      </c>
      <c r="B6" s="593" t="s">
        <v>14</v>
      </c>
      <c r="C6" s="593"/>
      <c r="D6" s="32">
        <v>94.03</v>
      </c>
    </row>
    <row r="7" spans="1:23">
      <c r="A7" s="590" t="s">
        <v>5</v>
      </c>
      <c r="B7" s="590" t="s">
        <v>15</v>
      </c>
      <c r="C7" s="590"/>
      <c r="D7" s="591">
        <f>D8</f>
        <v>22.5</v>
      </c>
    </row>
    <row r="8" spans="1:23">
      <c r="A8" s="593">
        <v>3</v>
      </c>
      <c r="B8" s="593" t="s">
        <v>16</v>
      </c>
      <c r="C8" s="593" t="s">
        <v>13</v>
      </c>
      <c r="D8" s="32">
        <v>22.5</v>
      </c>
    </row>
    <row r="9" spans="1:23">
      <c r="A9" s="590" t="s">
        <v>6</v>
      </c>
      <c r="B9" s="590" t="s">
        <v>17</v>
      </c>
      <c r="C9" s="590"/>
      <c r="D9" s="591">
        <f>D11+D10</f>
        <v>187.45</v>
      </c>
    </row>
    <row r="10" spans="1:23">
      <c r="A10" s="593">
        <v>4</v>
      </c>
      <c r="B10" s="593" t="s">
        <v>18</v>
      </c>
      <c r="C10" s="593"/>
      <c r="D10" s="32">
        <v>22.72</v>
      </c>
    </row>
    <row r="11" spans="1:23">
      <c r="A11" s="593">
        <v>5</v>
      </c>
      <c r="B11" s="593" t="s">
        <v>19</v>
      </c>
      <c r="C11" s="593"/>
      <c r="D11" s="32">
        <v>164.73</v>
      </c>
    </row>
    <row r="12" spans="1:23">
      <c r="A12" s="590" t="s">
        <v>7</v>
      </c>
      <c r="B12" s="590" t="s">
        <v>20</v>
      </c>
      <c r="C12" s="590"/>
      <c r="D12" s="591">
        <f>D13+D14</f>
        <v>28.691500000000001</v>
      </c>
    </row>
    <row r="13" spans="1:23" ht="26.25">
      <c r="A13" s="593">
        <v>6</v>
      </c>
      <c r="B13" s="593" t="s">
        <v>350</v>
      </c>
      <c r="C13" s="3">
        <v>1.4999999999999999E-2</v>
      </c>
      <c r="D13" s="32">
        <v>25.12</v>
      </c>
    </row>
    <row r="14" spans="1:23">
      <c r="A14" s="593">
        <v>7</v>
      </c>
      <c r="B14" s="593" t="s">
        <v>86</v>
      </c>
      <c r="C14" s="3">
        <v>7.4999999999999997E-2</v>
      </c>
      <c r="D14" s="32">
        <f>C14*(D13+D8)</f>
        <v>3.5715000000000003</v>
      </c>
    </row>
    <row r="15" spans="1:23">
      <c r="A15" s="590" t="s">
        <v>489</v>
      </c>
      <c r="B15" s="590" t="s">
        <v>21</v>
      </c>
      <c r="C15" s="43"/>
      <c r="D15" s="591">
        <f>D17+D16</f>
        <v>74.78</v>
      </c>
    </row>
    <row r="16" spans="1:23">
      <c r="A16" s="593">
        <v>9</v>
      </c>
      <c r="B16" s="593" t="s">
        <v>442</v>
      </c>
      <c r="C16" s="3">
        <v>2.5000000000000001E-2</v>
      </c>
      <c r="D16" s="32">
        <v>52.73</v>
      </c>
    </row>
    <row r="17" spans="1:4">
      <c r="A17" s="593">
        <v>10</v>
      </c>
      <c r="B17" s="593" t="s">
        <v>490</v>
      </c>
      <c r="C17" s="3">
        <v>1.4999999999999999E-2</v>
      </c>
      <c r="D17" s="32">
        <v>22.05</v>
      </c>
    </row>
    <row r="18" spans="1:4">
      <c r="A18" s="589"/>
      <c r="B18" s="589" t="s">
        <v>22</v>
      </c>
      <c r="C18" s="589"/>
      <c r="D18" s="108">
        <f>D15+D3</f>
        <v>1656.1814999999999</v>
      </c>
    </row>
  </sheetData>
  <mergeCells count="1">
    <mergeCell ref="A1:D1"/>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298ED-B366-48EC-92B9-14445471E99F}">
  <sheetPr codeName="Sheet30"/>
  <dimension ref="A1:B35"/>
  <sheetViews>
    <sheetView showGridLines="0" zoomScaleNormal="100" zoomScaleSheetLayoutView="100" workbookViewId="0">
      <selection activeCell="A34" sqref="A34"/>
    </sheetView>
  </sheetViews>
  <sheetFormatPr defaultRowHeight="21" customHeight="1"/>
  <cols>
    <col min="1" max="1" width="83.28515625" style="148" customWidth="1"/>
    <col min="2" max="2" width="10.7109375" style="148" customWidth="1"/>
    <col min="3" max="246" width="9.140625" style="148"/>
    <col min="247" max="247" width="35.7109375" style="148" customWidth="1"/>
    <col min="248" max="257" width="10.7109375" style="148" customWidth="1"/>
    <col min="258" max="502" width="9.140625" style="148"/>
    <col min="503" max="503" width="35.7109375" style="148" customWidth="1"/>
    <col min="504" max="513" width="10.7109375" style="148" customWidth="1"/>
    <col min="514" max="758" width="9.140625" style="148"/>
    <col min="759" max="759" width="35.7109375" style="148" customWidth="1"/>
    <col min="760" max="769" width="10.7109375" style="148" customWidth="1"/>
    <col min="770" max="1014" width="9.140625" style="148"/>
    <col min="1015" max="1015" width="35.7109375" style="148" customWidth="1"/>
    <col min="1016" max="1025" width="10.7109375" style="148" customWidth="1"/>
    <col min="1026" max="1270" width="9.140625" style="148"/>
    <col min="1271" max="1271" width="35.7109375" style="148" customWidth="1"/>
    <col min="1272" max="1281" width="10.7109375" style="148" customWidth="1"/>
    <col min="1282" max="1526" width="9.140625" style="148"/>
    <col min="1527" max="1527" width="35.7109375" style="148" customWidth="1"/>
    <col min="1528" max="1537" width="10.7109375" style="148" customWidth="1"/>
    <col min="1538" max="1782" width="9.140625" style="148"/>
    <col min="1783" max="1783" width="35.7109375" style="148" customWidth="1"/>
    <col min="1784" max="1793" width="10.7109375" style="148" customWidth="1"/>
    <col min="1794" max="2038" width="9.140625" style="148"/>
    <col min="2039" max="2039" width="35.7109375" style="148" customWidth="1"/>
    <col min="2040" max="2049" width="10.7109375" style="148" customWidth="1"/>
    <col min="2050" max="2294" width="9.140625" style="148"/>
    <col min="2295" max="2295" width="35.7109375" style="148" customWidth="1"/>
    <col min="2296" max="2305" width="10.7109375" style="148" customWidth="1"/>
    <col min="2306" max="2550" width="9.140625" style="148"/>
    <col min="2551" max="2551" width="35.7109375" style="148" customWidth="1"/>
    <col min="2552" max="2561" width="10.7109375" style="148" customWidth="1"/>
    <col min="2562" max="2806" width="9.140625" style="148"/>
    <col min="2807" max="2807" width="35.7109375" style="148" customWidth="1"/>
    <col min="2808" max="2817" width="10.7109375" style="148" customWidth="1"/>
    <col min="2818" max="3062" width="9.140625" style="148"/>
    <col min="3063" max="3063" width="35.7109375" style="148" customWidth="1"/>
    <col min="3064" max="3073" width="10.7109375" style="148" customWidth="1"/>
    <col min="3074" max="3318" width="9.140625" style="148"/>
    <col min="3319" max="3319" width="35.7109375" style="148" customWidth="1"/>
    <col min="3320" max="3329" width="10.7109375" style="148" customWidth="1"/>
    <col min="3330" max="3574" width="9.140625" style="148"/>
    <col min="3575" max="3575" width="35.7109375" style="148" customWidth="1"/>
    <col min="3576" max="3585" width="10.7109375" style="148" customWidth="1"/>
    <col min="3586" max="3830" width="9.140625" style="148"/>
    <col min="3831" max="3831" width="35.7109375" style="148" customWidth="1"/>
    <col min="3832" max="3841" width="10.7109375" style="148" customWidth="1"/>
    <col min="3842" max="4086" width="9.140625" style="148"/>
    <col min="4087" max="4087" width="35.7109375" style="148" customWidth="1"/>
    <col min="4088" max="4097" width="10.7109375" style="148" customWidth="1"/>
    <col min="4098" max="4342" width="9.140625" style="148"/>
    <col min="4343" max="4343" width="35.7109375" style="148" customWidth="1"/>
    <col min="4344" max="4353" width="10.7109375" style="148" customWidth="1"/>
    <col min="4354" max="4598" width="9.140625" style="148"/>
    <col min="4599" max="4599" width="35.7109375" style="148" customWidth="1"/>
    <col min="4600" max="4609" width="10.7109375" style="148" customWidth="1"/>
    <col min="4610" max="4854" width="9.140625" style="148"/>
    <col min="4855" max="4855" width="35.7109375" style="148" customWidth="1"/>
    <col min="4856" max="4865" width="10.7109375" style="148" customWidth="1"/>
    <col min="4866" max="5110" width="9.140625" style="148"/>
    <col min="5111" max="5111" width="35.7109375" style="148" customWidth="1"/>
    <col min="5112" max="5121" width="10.7109375" style="148" customWidth="1"/>
    <col min="5122" max="5366" width="9.140625" style="148"/>
    <col min="5367" max="5367" width="35.7109375" style="148" customWidth="1"/>
    <col min="5368" max="5377" width="10.7109375" style="148" customWidth="1"/>
    <col min="5378" max="5622" width="9.140625" style="148"/>
    <col min="5623" max="5623" width="35.7109375" style="148" customWidth="1"/>
    <col min="5624" max="5633" width="10.7109375" style="148" customWidth="1"/>
    <col min="5634" max="5878" width="9.140625" style="148"/>
    <col min="5879" max="5879" width="35.7109375" style="148" customWidth="1"/>
    <col min="5880" max="5889" width="10.7109375" style="148" customWidth="1"/>
    <col min="5890" max="6134" width="9.140625" style="148"/>
    <col min="6135" max="6135" width="35.7109375" style="148" customWidth="1"/>
    <col min="6136" max="6145" width="10.7109375" style="148" customWidth="1"/>
    <col min="6146" max="6390" width="9.140625" style="148"/>
    <col min="6391" max="6391" width="35.7109375" style="148" customWidth="1"/>
    <col min="6392" max="6401" width="10.7109375" style="148" customWidth="1"/>
    <col min="6402" max="6646" width="9.140625" style="148"/>
    <col min="6647" max="6647" width="35.7109375" style="148" customWidth="1"/>
    <col min="6648" max="6657" width="10.7109375" style="148" customWidth="1"/>
    <col min="6658" max="6902" width="9.140625" style="148"/>
    <col min="6903" max="6903" width="35.7109375" style="148" customWidth="1"/>
    <col min="6904" max="6913" width="10.7109375" style="148" customWidth="1"/>
    <col min="6914" max="7158" width="9.140625" style="148"/>
    <col min="7159" max="7159" width="35.7109375" style="148" customWidth="1"/>
    <col min="7160" max="7169" width="10.7109375" style="148" customWidth="1"/>
    <col min="7170" max="7414" width="9.140625" style="148"/>
    <col min="7415" max="7415" width="35.7109375" style="148" customWidth="1"/>
    <col min="7416" max="7425" width="10.7109375" style="148" customWidth="1"/>
    <col min="7426" max="7670" width="9.140625" style="148"/>
    <col min="7671" max="7671" width="35.7109375" style="148" customWidth="1"/>
    <col min="7672" max="7681" width="10.7109375" style="148" customWidth="1"/>
    <col min="7682" max="7926" width="9.140625" style="148"/>
    <col min="7927" max="7927" width="35.7109375" style="148" customWidth="1"/>
    <col min="7928" max="7937" width="10.7109375" style="148" customWidth="1"/>
    <col min="7938" max="8182" width="9.140625" style="148"/>
    <col min="8183" max="8183" width="35.7109375" style="148" customWidth="1"/>
    <col min="8184" max="8193" width="10.7109375" style="148" customWidth="1"/>
    <col min="8194" max="8438" width="9.140625" style="148"/>
    <col min="8439" max="8439" width="35.7109375" style="148" customWidth="1"/>
    <col min="8440" max="8449" width="10.7109375" style="148" customWidth="1"/>
    <col min="8450" max="8694" width="9.140625" style="148"/>
    <col min="8695" max="8695" width="35.7109375" style="148" customWidth="1"/>
    <col min="8696" max="8705" width="10.7109375" style="148" customWidth="1"/>
    <col min="8706" max="8950" width="9.140625" style="148"/>
    <col min="8951" max="8951" width="35.7109375" style="148" customWidth="1"/>
    <col min="8952" max="8961" width="10.7109375" style="148" customWidth="1"/>
    <col min="8962" max="9206" width="9.140625" style="148"/>
    <col min="9207" max="9207" width="35.7109375" style="148" customWidth="1"/>
    <col min="9208" max="9217" width="10.7109375" style="148" customWidth="1"/>
    <col min="9218" max="9462" width="9.140625" style="148"/>
    <col min="9463" max="9463" width="35.7109375" style="148" customWidth="1"/>
    <col min="9464" max="9473" width="10.7109375" style="148" customWidth="1"/>
    <col min="9474" max="9718" width="9.140625" style="148"/>
    <col min="9719" max="9719" width="35.7109375" style="148" customWidth="1"/>
    <col min="9720" max="9729" width="10.7109375" style="148" customWidth="1"/>
    <col min="9730" max="9974" width="9.140625" style="148"/>
    <col min="9975" max="9975" width="35.7109375" style="148" customWidth="1"/>
    <col min="9976" max="9985" width="10.7109375" style="148" customWidth="1"/>
    <col min="9986" max="10230" width="9.140625" style="148"/>
    <col min="10231" max="10231" width="35.7109375" style="148" customWidth="1"/>
    <col min="10232" max="10241" width="10.7109375" style="148" customWidth="1"/>
    <col min="10242" max="10486" width="9.140625" style="148"/>
    <col min="10487" max="10487" width="35.7109375" style="148" customWidth="1"/>
    <col min="10488" max="10497" width="10.7109375" style="148" customWidth="1"/>
    <col min="10498" max="10742" width="9.140625" style="148"/>
    <col min="10743" max="10743" width="35.7109375" style="148" customWidth="1"/>
    <col min="10744" max="10753" width="10.7109375" style="148" customWidth="1"/>
    <col min="10754" max="10998" width="9.140625" style="148"/>
    <col min="10999" max="10999" width="35.7109375" style="148" customWidth="1"/>
    <col min="11000" max="11009" width="10.7109375" style="148" customWidth="1"/>
    <col min="11010" max="11254" width="9.140625" style="148"/>
    <col min="11255" max="11255" width="35.7109375" style="148" customWidth="1"/>
    <col min="11256" max="11265" width="10.7109375" style="148" customWidth="1"/>
    <col min="11266" max="11510" width="9.140625" style="148"/>
    <col min="11511" max="11511" width="35.7109375" style="148" customWidth="1"/>
    <col min="11512" max="11521" width="10.7109375" style="148" customWidth="1"/>
    <col min="11522" max="11766" width="9.140625" style="148"/>
    <col min="11767" max="11767" width="35.7109375" style="148" customWidth="1"/>
    <col min="11768" max="11777" width="10.7109375" style="148" customWidth="1"/>
    <col min="11778" max="12022" width="9.140625" style="148"/>
    <col min="12023" max="12023" width="35.7109375" style="148" customWidth="1"/>
    <col min="12024" max="12033" width="10.7109375" style="148" customWidth="1"/>
    <col min="12034" max="12278" width="9.140625" style="148"/>
    <col min="12279" max="12279" width="35.7109375" style="148" customWidth="1"/>
    <col min="12280" max="12289" width="10.7109375" style="148" customWidth="1"/>
    <col min="12290" max="12534" width="9.140625" style="148"/>
    <col min="12535" max="12535" width="35.7109375" style="148" customWidth="1"/>
    <col min="12536" max="12545" width="10.7109375" style="148" customWidth="1"/>
    <col min="12546" max="12790" width="9.140625" style="148"/>
    <col min="12791" max="12791" width="35.7109375" style="148" customWidth="1"/>
    <col min="12792" max="12801" width="10.7109375" style="148" customWidth="1"/>
    <col min="12802" max="13046" width="9.140625" style="148"/>
    <col min="13047" max="13047" width="35.7109375" style="148" customWidth="1"/>
    <col min="13048" max="13057" width="10.7109375" style="148" customWidth="1"/>
    <col min="13058" max="13302" width="9.140625" style="148"/>
    <col min="13303" max="13303" width="35.7109375" style="148" customWidth="1"/>
    <col min="13304" max="13313" width="10.7109375" style="148" customWidth="1"/>
    <col min="13314" max="13558" width="9.140625" style="148"/>
    <col min="13559" max="13559" width="35.7109375" style="148" customWidth="1"/>
    <col min="13560" max="13569" width="10.7109375" style="148" customWidth="1"/>
    <col min="13570" max="13814" width="9.140625" style="148"/>
    <col min="13815" max="13815" width="35.7109375" style="148" customWidth="1"/>
    <col min="13816" max="13825" width="10.7109375" style="148" customWidth="1"/>
    <col min="13826" max="14070" width="9.140625" style="148"/>
    <col min="14071" max="14071" width="35.7109375" style="148" customWidth="1"/>
    <col min="14072" max="14081" width="10.7109375" style="148" customWidth="1"/>
    <col min="14082" max="14326" width="9.140625" style="148"/>
    <col min="14327" max="14327" width="35.7109375" style="148" customWidth="1"/>
    <col min="14328" max="14337" width="10.7109375" style="148" customWidth="1"/>
    <col min="14338" max="14582" width="9.140625" style="148"/>
    <col min="14583" max="14583" width="35.7109375" style="148" customWidth="1"/>
    <col min="14584" max="14593" width="10.7109375" style="148" customWidth="1"/>
    <col min="14594" max="14838" width="9.140625" style="148"/>
    <col min="14839" max="14839" width="35.7109375" style="148" customWidth="1"/>
    <col min="14840" max="14849" width="10.7109375" style="148" customWidth="1"/>
    <col min="14850" max="15094" width="9.140625" style="148"/>
    <col min="15095" max="15095" width="35.7109375" style="148" customWidth="1"/>
    <col min="15096" max="15105" width="10.7109375" style="148" customWidth="1"/>
    <col min="15106" max="15350" width="9.140625" style="148"/>
    <col min="15351" max="15351" width="35.7109375" style="148" customWidth="1"/>
    <col min="15352" max="15361" width="10.7109375" style="148" customWidth="1"/>
    <col min="15362" max="15606" width="9.140625" style="148"/>
    <col min="15607" max="15607" width="35.7109375" style="148" customWidth="1"/>
    <col min="15608" max="15617" width="10.7109375" style="148" customWidth="1"/>
    <col min="15618" max="15862" width="9.140625" style="148"/>
    <col min="15863" max="15863" width="35.7109375" style="148" customWidth="1"/>
    <col min="15864" max="15873" width="10.7109375" style="148" customWidth="1"/>
    <col min="15874" max="16118" width="9.140625" style="148"/>
    <col min="16119" max="16119" width="35.7109375" style="148" customWidth="1"/>
    <col min="16120" max="16129" width="10.7109375" style="148" customWidth="1"/>
    <col min="16130" max="16384" width="9.140625" style="148"/>
  </cols>
  <sheetData>
    <row r="1" spans="1:2" ht="21" customHeight="1">
      <c r="A1" s="1107" t="s">
        <v>455</v>
      </c>
      <c r="B1" s="1109"/>
    </row>
    <row r="2" spans="1:2" ht="21" customHeight="1">
      <c r="A2" s="505" t="s">
        <v>259</v>
      </c>
      <c r="B2" s="507">
        <v>1</v>
      </c>
    </row>
    <row r="3" spans="1:2" ht="18.75" customHeight="1">
      <c r="A3" s="1110" t="s">
        <v>260</v>
      </c>
      <c r="B3" s="1112"/>
    </row>
    <row r="4" spans="1:2" ht="21" customHeight="1">
      <c r="A4" s="505"/>
      <c r="B4" s="508" t="s">
        <v>261</v>
      </c>
    </row>
    <row r="5" spans="1:2" s="135" customFormat="1" ht="21" customHeight="1">
      <c r="A5" s="505" t="s">
        <v>300</v>
      </c>
      <c r="B5" s="527">
        <f>'Cashflow Current'!H11</f>
        <v>3842.6360000000004</v>
      </c>
    </row>
    <row r="6" spans="1:2" s="135" customFormat="1" ht="21" customHeight="1">
      <c r="A6" s="505" t="s">
        <v>446</v>
      </c>
      <c r="B6" s="527">
        <f>'Cashflow Current'!H20</f>
        <v>2147.3445796268261</v>
      </c>
    </row>
    <row r="7" spans="1:2" s="135" customFormat="1" ht="21" customHeight="1">
      <c r="A7" s="52" t="s">
        <v>28</v>
      </c>
      <c r="B7" s="527">
        <f>'Cashflow 350 KTPA'!H14</f>
        <v>529.49751647064807</v>
      </c>
    </row>
    <row r="8" spans="1:2" s="135" customFormat="1" ht="21" customHeight="1">
      <c r="A8" s="52" t="s">
        <v>328</v>
      </c>
      <c r="B8" s="527">
        <f>'Cashflow 350 KTPA'!H15</f>
        <v>71.75</v>
      </c>
    </row>
    <row r="9" spans="1:2" s="135" customFormat="1" ht="21" customHeight="1">
      <c r="A9" s="52" t="s">
        <v>29</v>
      </c>
      <c r="B9" s="527">
        <f>'Cashflow 350 KTPA'!H16</f>
        <v>26.91</v>
      </c>
    </row>
    <row r="10" spans="1:2" s="135" customFormat="1" ht="21" customHeight="1">
      <c r="A10" s="52" t="s">
        <v>17</v>
      </c>
      <c r="B10" s="527">
        <f>'Cashflow 350 KTPA'!H17</f>
        <v>157.19999999999999</v>
      </c>
    </row>
    <row r="11" spans="1:2" s="135" customFormat="1" ht="21" customHeight="1">
      <c r="A11" s="52" t="s">
        <v>20</v>
      </c>
      <c r="B11" s="527">
        <f>'Cashflow 350 KTPA'!H18</f>
        <v>69.089377505903997</v>
      </c>
    </row>
    <row r="12" spans="1:2" s="135" customFormat="1" ht="21" customHeight="1">
      <c r="A12" s="52" t="s">
        <v>21</v>
      </c>
      <c r="B12" s="527">
        <f>'Cashflow 350 KTPA'!H19</f>
        <v>77.789892050550776</v>
      </c>
    </row>
    <row r="13" spans="1:2" ht="21" customHeight="1">
      <c r="A13" s="505" t="s">
        <v>447</v>
      </c>
      <c r="B13" s="527">
        <f t="shared" ref="B13" si="0">B5-B6</f>
        <v>1695.2914203731743</v>
      </c>
    </row>
    <row r="14" spans="1:2" s="135" customFormat="1" ht="21" customHeight="1">
      <c r="A14" s="505" t="s">
        <v>453</v>
      </c>
      <c r="B14" s="527">
        <f>'Cashflow 350 KTPA'!$G$8/10</f>
        <v>415.94497678079995</v>
      </c>
    </row>
    <row r="15" spans="1:2" s="135" customFormat="1" ht="21" customHeight="1">
      <c r="A15" s="505" t="s">
        <v>454</v>
      </c>
      <c r="B15" s="527">
        <f>B13-B14</f>
        <v>1279.3464435923743</v>
      </c>
    </row>
    <row r="16" spans="1:2" s="135" customFormat="1" ht="21" customHeight="1">
      <c r="A16" s="505" t="s">
        <v>271</v>
      </c>
      <c r="B16" s="527">
        <f>B15*0.2517</f>
        <v>322.01149985220059</v>
      </c>
    </row>
    <row r="17" spans="1:2" s="135" customFormat="1" ht="21" customHeight="1">
      <c r="A17" s="509" t="s">
        <v>272</v>
      </c>
      <c r="B17" s="529">
        <f>B15-B16</f>
        <v>957.33494374017369</v>
      </c>
    </row>
    <row r="18" spans="1:2" ht="21" customHeight="1">
      <c r="A18" s="147"/>
      <c r="B18" s="146"/>
    </row>
    <row r="19" spans="1:2" ht="21" customHeight="1">
      <c r="A19" s="147"/>
      <c r="B19" s="147"/>
    </row>
    <row r="20" spans="1:2" ht="21" customHeight="1">
      <c r="A20" s="147"/>
      <c r="B20" s="147"/>
    </row>
    <row r="21" spans="1:2" ht="21" customHeight="1">
      <c r="A21" s="147"/>
      <c r="B21" s="147"/>
    </row>
    <row r="22" spans="1:2" ht="21" customHeight="1">
      <c r="A22" s="147"/>
      <c r="B22" s="147"/>
    </row>
    <row r="23" spans="1:2" ht="21" customHeight="1">
      <c r="A23" s="147"/>
      <c r="B23" s="147"/>
    </row>
    <row r="24" spans="1:2" ht="21" customHeight="1">
      <c r="A24" s="147"/>
      <c r="B24" s="147"/>
    </row>
    <row r="25" spans="1:2" ht="21" customHeight="1">
      <c r="A25" s="147"/>
      <c r="B25" s="147"/>
    </row>
    <row r="26" spans="1:2" ht="21" customHeight="1">
      <c r="A26" s="147"/>
      <c r="B26" s="147"/>
    </row>
    <row r="27" spans="1:2" ht="21" customHeight="1">
      <c r="A27" s="147"/>
      <c r="B27" s="147"/>
    </row>
    <row r="28" spans="1:2" ht="21" customHeight="1">
      <c r="A28" s="147" t="s">
        <v>273</v>
      </c>
      <c r="B28" s="147"/>
    </row>
    <row r="29" spans="1:2" ht="21" customHeight="1">
      <c r="A29" s="147"/>
      <c r="B29" s="147"/>
    </row>
    <row r="30" spans="1:2" ht="21" customHeight="1">
      <c r="A30" s="147"/>
      <c r="B30" s="147"/>
    </row>
    <row r="31" spans="1:2" ht="21" customHeight="1">
      <c r="A31" s="147"/>
      <c r="B31" s="147"/>
    </row>
    <row r="32" spans="1:2" ht="21" customHeight="1">
      <c r="A32" s="147"/>
      <c r="B32" s="147"/>
    </row>
    <row r="33" spans="1:2" ht="21" customHeight="1">
      <c r="A33" s="147"/>
      <c r="B33" s="147"/>
    </row>
    <row r="34" spans="1:2" ht="21" customHeight="1">
      <c r="A34" s="147"/>
      <c r="B34" s="147"/>
    </row>
    <row r="35" spans="1:2" ht="21" customHeight="1">
      <c r="A35" s="147"/>
      <c r="B35" s="147"/>
    </row>
  </sheetData>
  <mergeCells count="2">
    <mergeCell ref="A1:B1"/>
    <mergeCell ref="A3:B3"/>
  </mergeCells>
  <printOptions horizontalCentered="1" gridLines="1"/>
  <pageMargins left="0.75" right="0.75" top="0.66" bottom="0.28999999999999998" header="0.23" footer="0.44"/>
  <pageSetup paperSize="9" scale="78"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A8B08-AEC5-4635-AF99-22B3D63F7E1B}">
  <sheetPr codeName="Sheet31"/>
  <dimension ref="A1:L18"/>
  <sheetViews>
    <sheetView showGridLines="0" topLeftCell="A7" zoomScaleNormal="100" zoomScaleSheetLayoutView="98" workbookViewId="0">
      <selection activeCell="D11" sqref="D11"/>
    </sheetView>
  </sheetViews>
  <sheetFormatPr defaultRowHeight="12.75"/>
  <cols>
    <col min="1" max="1" width="49.140625" style="123" customWidth="1"/>
    <col min="2" max="2" width="20.7109375" style="123" customWidth="1"/>
    <col min="3" max="3" width="9.140625" style="123"/>
    <col min="4" max="4" width="35.28515625" style="123" customWidth="1"/>
    <col min="5" max="5" width="34.7109375" style="123" customWidth="1"/>
    <col min="6" max="6" width="12.42578125" style="123" customWidth="1"/>
    <col min="7" max="7" width="13.42578125" style="123" customWidth="1"/>
    <col min="8" max="256" width="9.140625" style="123"/>
    <col min="257" max="257" width="49.140625" style="123" customWidth="1"/>
    <col min="258" max="258" width="20.7109375" style="123" customWidth="1"/>
    <col min="259" max="259" width="9.140625" style="123"/>
    <col min="260" max="260" width="11.85546875" style="123" customWidth="1"/>
    <col min="261" max="261" width="11.7109375" style="123" customWidth="1"/>
    <col min="262" max="262" width="12.42578125" style="123" customWidth="1"/>
    <col min="263" max="263" width="13.42578125" style="123" customWidth="1"/>
    <col min="264" max="512" width="9.140625" style="123"/>
    <col min="513" max="513" width="49.140625" style="123" customWidth="1"/>
    <col min="514" max="514" width="20.7109375" style="123" customWidth="1"/>
    <col min="515" max="515" width="9.140625" style="123"/>
    <col min="516" max="516" width="11.85546875" style="123" customWidth="1"/>
    <col min="517" max="517" width="11.7109375" style="123" customWidth="1"/>
    <col min="518" max="518" width="12.42578125" style="123" customWidth="1"/>
    <col min="519" max="519" width="13.42578125" style="123" customWidth="1"/>
    <col min="520" max="768" width="9.140625" style="123"/>
    <col min="769" max="769" width="49.140625" style="123" customWidth="1"/>
    <col min="770" max="770" width="20.7109375" style="123" customWidth="1"/>
    <col min="771" max="771" width="9.140625" style="123"/>
    <col min="772" max="772" width="11.85546875" style="123" customWidth="1"/>
    <col min="773" max="773" width="11.7109375" style="123" customWidth="1"/>
    <col min="774" max="774" width="12.42578125" style="123" customWidth="1"/>
    <col min="775" max="775" width="13.42578125" style="123" customWidth="1"/>
    <col min="776" max="1024" width="9.140625" style="123"/>
    <col min="1025" max="1025" width="49.140625" style="123" customWidth="1"/>
    <col min="1026" max="1026" width="20.7109375" style="123" customWidth="1"/>
    <col min="1027" max="1027" width="9.140625" style="123"/>
    <col min="1028" max="1028" width="11.85546875" style="123" customWidth="1"/>
    <col min="1029" max="1029" width="11.7109375" style="123" customWidth="1"/>
    <col min="1030" max="1030" width="12.42578125" style="123" customWidth="1"/>
    <col min="1031" max="1031" width="13.42578125" style="123" customWidth="1"/>
    <col min="1032" max="1280" width="9.140625" style="123"/>
    <col min="1281" max="1281" width="49.140625" style="123" customWidth="1"/>
    <col min="1282" max="1282" width="20.7109375" style="123" customWidth="1"/>
    <col min="1283" max="1283" width="9.140625" style="123"/>
    <col min="1284" max="1284" width="11.85546875" style="123" customWidth="1"/>
    <col min="1285" max="1285" width="11.7109375" style="123" customWidth="1"/>
    <col min="1286" max="1286" width="12.42578125" style="123" customWidth="1"/>
    <col min="1287" max="1287" width="13.42578125" style="123" customWidth="1"/>
    <col min="1288" max="1536" width="9.140625" style="123"/>
    <col min="1537" max="1537" width="49.140625" style="123" customWidth="1"/>
    <col min="1538" max="1538" width="20.7109375" style="123" customWidth="1"/>
    <col min="1539" max="1539" width="9.140625" style="123"/>
    <col min="1540" max="1540" width="11.85546875" style="123" customWidth="1"/>
    <col min="1541" max="1541" width="11.7109375" style="123" customWidth="1"/>
    <col min="1542" max="1542" width="12.42578125" style="123" customWidth="1"/>
    <col min="1543" max="1543" width="13.42578125" style="123" customWidth="1"/>
    <col min="1544" max="1792" width="9.140625" style="123"/>
    <col min="1793" max="1793" width="49.140625" style="123" customWidth="1"/>
    <col min="1794" max="1794" width="20.7109375" style="123" customWidth="1"/>
    <col min="1795" max="1795" width="9.140625" style="123"/>
    <col min="1796" max="1796" width="11.85546875" style="123" customWidth="1"/>
    <col min="1797" max="1797" width="11.7109375" style="123" customWidth="1"/>
    <col min="1798" max="1798" width="12.42578125" style="123" customWidth="1"/>
    <col min="1799" max="1799" width="13.42578125" style="123" customWidth="1"/>
    <col min="1800" max="2048" width="9.140625" style="123"/>
    <col min="2049" max="2049" width="49.140625" style="123" customWidth="1"/>
    <col min="2050" max="2050" width="20.7109375" style="123" customWidth="1"/>
    <col min="2051" max="2051" width="9.140625" style="123"/>
    <col min="2052" max="2052" width="11.85546875" style="123" customWidth="1"/>
    <col min="2053" max="2053" width="11.7109375" style="123" customWidth="1"/>
    <col min="2054" max="2054" width="12.42578125" style="123" customWidth="1"/>
    <col min="2055" max="2055" width="13.42578125" style="123" customWidth="1"/>
    <col min="2056" max="2304" width="9.140625" style="123"/>
    <col min="2305" max="2305" width="49.140625" style="123" customWidth="1"/>
    <col min="2306" max="2306" width="20.7109375" style="123" customWidth="1"/>
    <col min="2307" max="2307" width="9.140625" style="123"/>
    <col min="2308" max="2308" width="11.85546875" style="123" customWidth="1"/>
    <col min="2309" max="2309" width="11.7109375" style="123" customWidth="1"/>
    <col min="2310" max="2310" width="12.42578125" style="123" customWidth="1"/>
    <col min="2311" max="2311" width="13.42578125" style="123" customWidth="1"/>
    <col min="2312" max="2560" width="9.140625" style="123"/>
    <col min="2561" max="2561" width="49.140625" style="123" customWidth="1"/>
    <col min="2562" max="2562" width="20.7109375" style="123" customWidth="1"/>
    <col min="2563" max="2563" width="9.140625" style="123"/>
    <col min="2564" max="2564" width="11.85546875" style="123" customWidth="1"/>
    <col min="2565" max="2565" width="11.7109375" style="123" customWidth="1"/>
    <col min="2566" max="2566" width="12.42578125" style="123" customWidth="1"/>
    <col min="2567" max="2567" width="13.42578125" style="123" customWidth="1"/>
    <col min="2568" max="2816" width="9.140625" style="123"/>
    <col min="2817" max="2817" width="49.140625" style="123" customWidth="1"/>
    <col min="2818" max="2818" width="20.7109375" style="123" customWidth="1"/>
    <col min="2819" max="2819" width="9.140625" style="123"/>
    <col min="2820" max="2820" width="11.85546875" style="123" customWidth="1"/>
    <col min="2821" max="2821" width="11.7109375" style="123" customWidth="1"/>
    <col min="2822" max="2822" width="12.42578125" style="123" customWidth="1"/>
    <col min="2823" max="2823" width="13.42578125" style="123" customWidth="1"/>
    <col min="2824" max="3072" width="9.140625" style="123"/>
    <col min="3073" max="3073" width="49.140625" style="123" customWidth="1"/>
    <col min="3074" max="3074" width="20.7109375" style="123" customWidth="1"/>
    <col min="3075" max="3075" width="9.140625" style="123"/>
    <col min="3076" max="3076" width="11.85546875" style="123" customWidth="1"/>
    <col min="3077" max="3077" width="11.7109375" style="123" customWidth="1"/>
    <col min="3078" max="3078" width="12.42578125" style="123" customWidth="1"/>
    <col min="3079" max="3079" width="13.42578125" style="123" customWidth="1"/>
    <col min="3080" max="3328" width="9.140625" style="123"/>
    <col min="3329" max="3329" width="49.140625" style="123" customWidth="1"/>
    <col min="3330" max="3330" width="20.7109375" style="123" customWidth="1"/>
    <col min="3331" max="3331" width="9.140625" style="123"/>
    <col min="3332" max="3332" width="11.85546875" style="123" customWidth="1"/>
    <col min="3333" max="3333" width="11.7109375" style="123" customWidth="1"/>
    <col min="3334" max="3334" width="12.42578125" style="123" customWidth="1"/>
    <col min="3335" max="3335" width="13.42578125" style="123" customWidth="1"/>
    <col min="3336" max="3584" width="9.140625" style="123"/>
    <col min="3585" max="3585" width="49.140625" style="123" customWidth="1"/>
    <col min="3586" max="3586" width="20.7109375" style="123" customWidth="1"/>
    <col min="3587" max="3587" width="9.140625" style="123"/>
    <col min="3588" max="3588" width="11.85546875" style="123" customWidth="1"/>
    <col min="3589" max="3589" width="11.7109375" style="123" customWidth="1"/>
    <col min="3590" max="3590" width="12.42578125" style="123" customWidth="1"/>
    <col min="3591" max="3591" width="13.42578125" style="123" customWidth="1"/>
    <col min="3592" max="3840" width="9.140625" style="123"/>
    <col min="3841" max="3841" width="49.140625" style="123" customWidth="1"/>
    <col min="3842" max="3842" width="20.7109375" style="123" customWidth="1"/>
    <col min="3843" max="3843" width="9.140625" style="123"/>
    <col min="3844" max="3844" width="11.85546875" style="123" customWidth="1"/>
    <col min="3845" max="3845" width="11.7109375" style="123" customWidth="1"/>
    <col min="3846" max="3846" width="12.42578125" style="123" customWidth="1"/>
    <col min="3847" max="3847" width="13.42578125" style="123" customWidth="1"/>
    <col min="3848" max="4096" width="9.140625" style="123"/>
    <col min="4097" max="4097" width="49.140625" style="123" customWidth="1"/>
    <col min="4098" max="4098" width="20.7109375" style="123" customWidth="1"/>
    <col min="4099" max="4099" width="9.140625" style="123"/>
    <col min="4100" max="4100" width="11.85546875" style="123" customWidth="1"/>
    <col min="4101" max="4101" width="11.7109375" style="123" customWidth="1"/>
    <col min="4102" max="4102" width="12.42578125" style="123" customWidth="1"/>
    <col min="4103" max="4103" width="13.42578125" style="123" customWidth="1"/>
    <col min="4104" max="4352" width="9.140625" style="123"/>
    <col min="4353" max="4353" width="49.140625" style="123" customWidth="1"/>
    <col min="4354" max="4354" width="20.7109375" style="123" customWidth="1"/>
    <col min="4355" max="4355" width="9.140625" style="123"/>
    <col min="4356" max="4356" width="11.85546875" style="123" customWidth="1"/>
    <col min="4357" max="4357" width="11.7109375" style="123" customWidth="1"/>
    <col min="4358" max="4358" width="12.42578125" style="123" customWidth="1"/>
    <col min="4359" max="4359" width="13.42578125" style="123" customWidth="1"/>
    <col min="4360" max="4608" width="9.140625" style="123"/>
    <col min="4609" max="4609" width="49.140625" style="123" customWidth="1"/>
    <col min="4610" max="4610" width="20.7109375" style="123" customWidth="1"/>
    <col min="4611" max="4611" width="9.140625" style="123"/>
    <col min="4612" max="4612" width="11.85546875" style="123" customWidth="1"/>
    <col min="4613" max="4613" width="11.7109375" style="123" customWidth="1"/>
    <col min="4614" max="4614" width="12.42578125" style="123" customWidth="1"/>
    <col min="4615" max="4615" width="13.42578125" style="123" customWidth="1"/>
    <col min="4616" max="4864" width="9.140625" style="123"/>
    <col min="4865" max="4865" width="49.140625" style="123" customWidth="1"/>
    <col min="4866" max="4866" width="20.7109375" style="123" customWidth="1"/>
    <col min="4867" max="4867" width="9.140625" style="123"/>
    <col min="4868" max="4868" width="11.85546875" style="123" customWidth="1"/>
    <col min="4869" max="4869" width="11.7109375" style="123" customWidth="1"/>
    <col min="4870" max="4870" width="12.42578125" style="123" customWidth="1"/>
    <col min="4871" max="4871" width="13.42578125" style="123" customWidth="1"/>
    <col min="4872" max="5120" width="9.140625" style="123"/>
    <col min="5121" max="5121" width="49.140625" style="123" customWidth="1"/>
    <col min="5122" max="5122" width="20.7109375" style="123" customWidth="1"/>
    <col min="5123" max="5123" width="9.140625" style="123"/>
    <col min="5124" max="5124" width="11.85546875" style="123" customWidth="1"/>
    <col min="5125" max="5125" width="11.7109375" style="123" customWidth="1"/>
    <col min="5126" max="5126" width="12.42578125" style="123" customWidth="1"/>
    <col min="5127" max="5127" width="13.42578125" style="123" customWidth="1"/>
    <col min="5128" max="5376" width="9.140625" style="123"/>
    <col min="5377" max="5377" width="49.140625" style="123" customWidth="1"/>
    <col min="5378" max="5378" width="20.7109375" style="123" customWidth="1"/>
    <col min="5379" max="5379" width="9.140625" style="123"/>
    <col min="5380" max="5380" width="11.85546875" style="123" customWidth="1"/>
    <col min="5381" max="5381" width="11.7109375" style="123" customWidth="1"/>
    <col min="5382" max="5382" width="12.42578125" style="123" customWidth="1"/>
    <col min="5383" max="5383" width="13.42578125" style="123" customWidth="1"/>
    <col min="5384" max="5632" width="9.140625" style="123"/>
    <col min="5633" max="5633" width="49.140625" style="123" customWidth="1"/>
    <col min="5634" max="5634" width="20.7109375" style="123" customWidth="1"/>
    <col min="5635" max="5635" width="9.140625" style="123"/>
    <col min="5636" max="5636" width="11.85546875" style="123" customWidth="1"/>
    <col min="5637" max="5637" width="11.7109375" style="123" customWidth="1"/>
    <col min="5638" max="5638" width="12.42578125" style="123" customWidth="1"/>
    <col min="5639" max="5639" width="13.42578125" style="123" customWidth="1"/>
    <col min="5640" max="5888" width="9.140625" style="123"/>
    <col min="5889" max="5889" width="49.140625" style="123" customWidth="1"/>
    <col min="5890" max="5890" width="20.7109375" style="123" customWidth="1"/>
    <col min="5891" max="5891" width="9.140625" style="123"/>
    <col min="5892" max="5892" width="11.85546875" style="123" customWidth="1"/>
    <col min="5893" max="5893" width="11.7109375" style="123" customWidth="1"/>
    <col min="5894" max="5894" width="12.42578125" style="123" customWidth="1"/>
    <col min="5895" max="5895" width="13.42578125" style="123" customWidth="1"/>
    <col min="5896" max="6144" width="9.140625" style="123"/>
    <col min="6145" max="6145" width="49.140625" style="123" customWidth="1"/>
    <col min="6146" max="6146" width="20.7109375" style="123" customWidth="1"/>
    <col min="6147" max="6147" width="9.140625" style="123"/>
    <col min="6148" max="6148" width="11.85546875" style="123" customWidth="1"/>
    <col min="6149" max="6149" width="11.7109375" style="123" customWidth="1"/>
    <col min="6150" max="6150" width="12.42578125" style="123" customWidth="1"/>
    <col min="6151" max="6151" width="13.42578125" style="123" customWidth="1"/>
    <col min="6152" max="6400" width="9.140625" style="123"/>
    <col min="6401" max="6401" width="49.140625" style="123" customWidth="1"/>
    <col min="6402" max="6402" width="20.7109375" style="123" customWidth="1"/>
    <col min="6403" max="6403" width="9.140625" style="123"/>
    <col min="6404" max="6404" width="11.85546875" style="123" customWidth="1"/>
    <col min="6405" max="6405" width="11.7109375" style="123" customWidth="1"/>
    <col min="6406" max="6406" width="12.42578125" style="123" customWidth="1"/>
    <col min="6407" max="6407" width="13.42578125" style="123" customWidth="1"/>
    <col min="6408" max="6656" width="9.140625" style="123"/>
    <col min="6657" max="6657" width="49.140625" style="123" customWidth="1"/>
    <col min="6658" max="6658" width="20.7109375" style="123" customWidth="1"/>
    <col min="6659" max="6659" width="9.140625" style="123"/>
    <col min="6660" max="6660" width="11.85546875" style="123" customWidth="1"/>
    <col min="6661" max="6661" width="11.7109375" style="123" customWidth="1"/>
    <col min="6662" max="6662" width="12.42578125" style="123" customWidth="1"/>
    <col min="6663" max="6663" width="13.42578125" style="123" customWidth="1"/>
    <col min="6664" max="6912" width="9.140625" style="123"/>
    <col min="6913" max="6913" width="49.140625" style="123" customWidth="1"/>
    <col min="6914" max="6914" width="20.7109375" style="123" customWidth="1"/>
    <col min="6915" max="6915" width="9.140625" style="123"/>
    <col min="6916" max="6916" width="11.85546875" style="123" customWidth="1"/>
    <col min="6917" max="6917" width="11.7109375" style="123" customWidth="1"/>
    <col min="6918" max="6918" width="12.42578125" style="123" customWidth="1"/>
    <col min="6919" max="6919" width="13.42578125" style="123" customWidth="1"/>
    <col min="6920" max="7168" width="9.140625" style="123"/>
    <col min="7169" max="7169" width="49.140625" style="123" customWidth="1"/>
    <col min="7170" max="7170" width="20.7109375" style="123" customWidth="1"/>
    <col min="7171" max="7171" width="9.140625" style="123"/>
    <col min="7172" max="7172" width="11.85546875" style="123" customWidth="1"/>
    <col min="7173" max="7173" width="11.7109375" style="123" customWidth="1"/>
    <col min="7174" max="7174" width="12.42578125" style="123" customWidth="1"/>
    <col min="7175" max="7175" width="13.42578125" style="123" customWidth="1"/>
    <col min="7176" max="7424" width="9.140625" style="123"/>
    <col min="7425" max="7425" width="49.140625" style="123" customWidth="1"/>
    <col min="7426" max="7426" width="20.7109375" style="123" customWidth="1"/>
    <col min="7427" max="7427" width="9.140625" style="123"/>
    <col min="7428" max="7428" width="11.85546875" style="123" customWidth="1"/>
    <col min="7429" max="7429" width="11.7109375" style="123" customWidth="1"/>
    <col min="7430" max="7430" width="12.42578125" style="123" customWidth="1"/>
    <col min="7431" max="7431" width="13.42578125" style="123" customWidth="1"/>
    <col min="7432" max="7680" width="9.140625" style="123"/>
    <col min="7681" max="7681" width="49.140625" style="123" customWidth="1"/>
    <col min="7682" max="7682" width="20.7109375" style="123" customWidth="1"/>
    <col min="7683" max="7683" width="9.140625" style="123"/>
    <col min="7684" max="7684" width="11.85546875" style="123" customWidth="1"/>
    <col min="7685" max="7685" width="11.7109375" style="123" customWidth="1"/>
    <col min="7686" max="7686" width="12.42578125" style="123" customWidth="1"/>
    <col min="7687" max="7687" width="13.42578125" style="123" customWidth="1"/>
    <col min="7688" max="7936" width="9.140625" style="123"/>
    <col min="7937" max="7937" width="49.140625" style="123" customWidth="1"/>
    <col min="7938" max="7938" width="20.7109375" style="123" customWidth="1"/>
    <col min="7939" max="7939" width="9.140625" style="123"/>
    <col min="7940" max="7940" width="11.85546875" style="123" customWidth="1"/>
    <col min="7941" max="7941" width="11.7109375" style="123" customWidth="1"/>
    <col min="7942" max="7942" width="12.42578125" style="123" customWidth="1"/>
    <col min="7943" max="7943" width="13.42578125" style="123" customWidth="1"/>
    <col min="7944" max="8192" width="9.140625" style="123"/>
    <col min="8193" max="8193" width="49.140625" style="123" customWidth="1"/>
    <col min="8194" max="8194" width="20.7109375" style="123" customWidth="1"/>
    <col min="8195" max="8195" width="9.140625" style="123"/>
    <col min="8196" max="8196" width="11.85546875" style="123" customWidth="1"/>
    <col min="8197" max="8197" width="11.7109375" style="123" customWidth="1"/>
    <col min="8198" max="8198" width="12.42578125" style="123" customWidth="1"/>
    <col min="8199" max="8199" width="13.42578125" style="123" customWidth="1"/>
    <col min="8200" max="8448" width="9.140625" style="123"/>
    <col min="8449" max="8449" width="49.140625" style="123" customWidth="1"/>
    <col min="8450" max="8450" width="20.7109375" style="123" customWidth="1"/>
    <col min="8451" max="8451" width="9.140625" style="123"/>
    <col min="8452" max="8452" width="11.85546875" style="123" customWidth="1"/>
    <col min="8453" max="8453" width="11.7109375" style="123" customWidth="1"/>
    <col min="8454" max="8454" width="12.42578125" style="123" customWidth="1"/>
    <col min="8455" max="8455" width="13.42578125" style="123" customWidth="1"/>
    <col min="8456" max="8704" width="9.140625" style="123"/>
    <col min="8705" max="8705" width="49.140625" style="123" customWidth="1"/>
    <col min="8706" max="8706" width="20.7109375" style="123" customWidth="1"/>
    <col min="8707" max="8707" width="9.140625" style="123"/>
    <col min="8708" max="8708" width="11.85546875" style="123" customWidth="1"/>
    <col min="8709" max="8709" width="11.7109375" style="123" customWidth="1"/>
    <col min="8710" max="8710" width="12.42578125" style="123" customWidth="1"/>
    <col min="8711" max="8711" width="13.42578125" style="123" customWidth="1"/>
    <col min="8712" max="8960" width="9.140625" style="123"/>
    <col min="8961" max="8961" width="49.140625" style="123" customWidth="1"/>
    <col min="8962" max="8962" width="20.7109375" style="123" customWidth="1"/>
    <col min="8963" max="8963" width="9.140625" style="123"/>
    <col min="8964" max="8964" width="11.85546875" style="123" customWidth="1"/>
    <col min="8965" max="8965" width="11.7109375" style="123" customWidth="1"/>
    <col min="8966" max="8966" width="12.42578125" style="123" customWidth="1"/>
    <col min="8967" max="8967" width="13.42578125" style="123" customWidth="1"/>
    <col min="8968" max="9216" width="9.140625" style="123"/>
    <col min="9217" max="9217" width="49.140625" style="123" customWidth="1"/>
    <col min="9218" max="9218" width="20.7109375" style="123" customWidth="1"/>
    <col min="9219" max="9219" width="9.140625" style="123"/>
    <col min="9220" max="9220" width="11.85546875" style="123" customWidth="1"/>
    <col min="9221" max="9221" width="11.7109375" style="123" customWidth="1"/>
    <col min="9222" max="9222" width="12.42578125" style="123" customWidth="1"/>
    <col min="9223" max="9223" width="13.42578125" style="123" customWidth="1"/>
    <col min="9224" max="9472" width="9.140625" style="123"/>
    <col min="9473" max="9473" width="49.140625" style="123" customWidth="1"/>
    <col min="9474" max="9474" width="20.7109375" style="123" customWidth="1"/>
    <col min="9475" max="9475" width="9.140625" style="123"/>
    <col min="9476" max="9476" width="11.85546875" style="123" customWidth="1"/>
    <col min="9477" max="9477" width="11.7109375" style="123" customWidth="1"/>
    <col min="9478" max="9478" width="12.42578125" style="123" customWidth="1"/>
    <col min="9479" max="9479" width="13.42578125" style="123" customWidth="1"/>
    <col min="9480" max="9728" width="9.140625" style="123"/>
    <col min="9729" max="9729" width="49.140625" style="123" customWidth="1"/>
    <col min="9730" max="9730" width="20.7109375" style="123" customWidth="1"/>
    <col min="9731" max="9731" width="9.140625" style="123"/>
    <col min="9732" max="9732" width="11.85546875" style="123" customWidth="1"/>
    <col min="9733" max="9733" width="11.7109375" style="123" customWidth="1"/>
    <col min="9734" max="9734" width="12.42578125" style="123" customWidth="1"/>
    <col min="9735" max="9735" width="13.42578125" style="123" customWidth="1"/>
    <col min="9736" max="9984" width="9.140625" style="123"/>
    <col min="9985" max="9985" width="49.140625" style="123" customWidth="1"/>
    <col min="9986" max="9986" width="20.7109375" style="123" customWidth="1"/>
    <col min="9987" max="9987" width="9.140625" style="123"/>
    <col min="9988" max="9988" width="11.85546875" style="123" customWidth="1"/>
    <col min="9989" max="9989" width="11.7109375" style="123" customWidth="1"/>
    <col min="9990" max="9990" width="12.42578125" style="123" customWidth="1"/>
    <col min="9991" max="9991" width="13.42578125" style="123" customWidth="1"/>
    <col min="9992" max="10240" width="9.140625" style="123"/>
    <col min="10241" max="10241" width="49.140625" style="123" customWidth="1"/>
    <col min="10242" max="10242" width="20.7109375" style="123" customWidth="1"/>
    <col min="10243" max="10243" width="9.140625" style="123"/>
    <col min="10244" max="10244" width="11.85546875" style="123" customWidth="1"/>
    <col min="10245" max="10245" width="11.7109375" style="123" customWidth="1"/>
    <col min="10246" max="10246" width="12.42578125" style="123" customWidth="1"/>
    <col min="10247" max="10247" width="13.42578125" style="123" customWidth="1"/>
    <col min="10248" max="10496" width="9.140625" style="123"/>
    <col min="10497" max="10497" width="49.140625" style="123" customWidth="1"/>
    <col min="10498" max="10498" width="20.7109375" style="123" customWidth="1"/>
    <col min="10499" max="10499" width="9.140625" style="123"/>
    <col min="10500" max="10500" width="11.85546875" style="123" customWidth="1"/>
    <col min="10501" max="10501" width="11.7109375" style="123" customWidth="1"/>
    <col min="10502" max="10502" width="12.42578125" style="123" customWidth="1"/>
    <col min="10503" max="10503" width="13.42578125" style="123" customWidth="1"/>
    <col min="10504" max="10752" width="9.140625" style="123"/>
    <col min="10753" max="10753" width="49.140625" style="123" customWidth="1"/>
    <col min="10754" max="10754" width="20.7109375" style="123" customWidth="1"/>
    <col min="10755" max="10755" width="9.140625" style="123"/>
    <col min="10756" max="10756" width="11.85546875" style="123" customWidth="1"/>
    <col min="10757" max="10757" width="11.7109375" style="123" customWidth="1"/>
    <col min="10758" max="10758" width="12.42578125" style="123" customWidth="1"/>
    <col min="10759" max="10759" width="13.42578125" style="123" customWidth="1"/>
    <col min="10760" max="11008" width="9.140625" style="123"/>
    <col min="11009" max="11009" width="49.140625" style="123" customWidth="1"/>
    <col min="11010" max="11010" width="20.7109375" style="123" customWidth="1"/>
    <col min="11011" max="11011" width="9.140625" style="123"/>
    <col min="11012" max="11012" width="11.85546875" style="123" customWidth="1"/>
    <col min="11013" max="11013" width="11.7109375" style="123" customWidth="1"/>
    <col min="11014" max="11014" width="12.42578125" style="123" customWidth="1"/>
    <col min="11015" max="11015" width="13.42578125" style="123" customWidth="1"/>
    <col min="11016" max="11264" width="9.140625" style="123"/>
    <col min="11265" max="11265" width="49.140625" style="123" customWidth="1"/>
    <col min="11266" max="11266" width="20.7109375" style="123" customWidth="1"/>
    <col min="11267" max="11267" width="9.140625" style="123"/>
    <col min="11268" max="11268" width="11.85546875" style="123" customWidth="1"/>
    <col min="11269" max="11269" width="11.7109375" style="123" customWidth="1"/>
    <col min="11270" max="11270" width="12.42578125" style="123" customWidth="1"/>
    <col min="11271" max="11271" width="13.42578125" style="123" customWidth="1"/>
    <col min="11272" max="11520" width="9.140625" style="123"/>
    <col min="11521" max="11521" width="49.140625" style="123" customWidth="1"/>
    <col min="11522" max="11522" width="20.7109375" style="123" customWidth="1"/>
    <col min="11523" max="11523" width="9.140625" style="123"/>
    <col min="11524" max="11524" width="11.85546875" style="123" customWidth="1"/>
    <col min="11525" max="11525" width="11.7109375" style="123" customWidth="1"/>
    <col min="11526" max="11526" width="12.42578125" style="123" customWidth="1"/>
    <col min="11527" max="11527" width="13.42578125" style="123" customWidth="1"/>
    <col min="11528" max="11776" width="9.140625" style="123"/>
    <col min="11777" max="11777" width="49.140625" style="123" customWidth="1"/>
    <col min="11778" max="11778" width="20.7109375" style="123" customWidth="1"/>
    <col min="11779" max="11779" width="9.140625" style="123"/>
    <col min="11780" max="11780" width="11.85546875" style="123" customWidth="1"/>
    <col min="11781" max="11781" width="11.7109375" style="123" customWidth="1"/>
    <col min="11782" max="11782" width="12.42578125" style="123" customWidth="1"/>
    <col min="11783" max="11783" width="13.42578125" style="123" customWidth="1"/>
    <col min="11784" max="12032" width="9.140625" style="123"/>
    <col min="12033" max="12033" width="49.140625" style="123" customWidth="1"/>
    <col min="12034" max="12034" width="20.7109375" style="123" customWidth="1"/>
    <col min="12035" max="12035" width="9.140625" style="123"/>
    <col min="12036" max="12036" width="11.85546875" style="123" customWidth="1"/>
    <col min="12037" max="12037" width="11.7109375" style="123" customWidth="1"/>
    <col min="12038" max="12038" width="12.42578125" style="123" customWidth="1"/>
    <col min="12039" max="12039" width="13.42578125" style="123" customWidth="1"/>
    <col min="12040" max="12288" width="9.140625" style="123"/>
    <col min="12289" max="12289" width="49.140625" style="123" customWidth="1"/>
    <col min="12290" max="12290" width="20.7109375" style="123" customWidth="1"/>
    <col min="12291" max="12291" width="9.140625" style="123"/>
    <col min="12292" max="12292" width="11.85546875" style="123" customWidth="1"/>
    <col min="12293" max="12293" width="11.7109375" style="123" customWidth="1"/>
    <col min="12294" max="12294" width="12.42578125" style="123" customWidth="1"/>
    <col min="12295" max="12295" width="13.42578125" style="123" customWidth="1"/>
    <col min="12296" max="12544" width="9.140625" style="123"/>
    <col min="12545" max="12545" width="49.140625" style="123" customWidth="1"/>
    <col min="12546" max="12546" width="20.7109375" style="123" customWidth="1"/>
    <col min="12547" max="12547" width="9.140625" style="123"/>
    <col min="12548" max="12548" width="11.85546875" style="123" customWidth="1"/>
    <col min="12549" max="12549" width="11.7109375" style="123" customWidth="1"/>
    <col min="12550" max="12550" width="12.42578125" style="123" customWidth="1"/>
    <col min="12551" max="12551" width="13.42578125" style="123" customWidth="1"/>
    <col min="12552" max="12800" width="9.140625" style="123"/>
    <col min="12801" max="12801" width="49.140625" style="123" customWidth="1"/>
    <col min="12802" max="12802" width="20.7109375" style="123" customWidth="1"/>
    <col min="12803" max="12803" width="9.140625" style="123"/>
    <col min="12804" max="12804" width="11.85546875" style="123" customWidth="1"/>
    <col min="12805" max="12805" width="11.7109375" style="123" customWidth="1"/>
    <col min="12806" max="12806" width="12.42578125" style="123" customWidth="1"/>
    <col min="12807" max="12807" width="13.42578125" style="123" customWidth="1"/>
    <col min="12808" max="13056" width="9.140625" style="123"/>
    <col min="13057" max="13057" width="49.140625" style="123" customWidth="1"/>
    <col min="13058" max="13058" width="20.7109375" style="123" customWidth="1"/>
    <col min="13059" max="13059" width="9.140625" style="123"/>
    <col min="13060" max="13060" width="11.85546875" style="123" customWidth="1"/>
    <col min="13061" max="13061" width="11.7109375" style="123" customWidth="1"/>
    <col min="13062" max="13062" width="12.42578125" style="123" customWidth="1"/>
    <col min="13063" max="13063" width="13.42578125" style="123" customWidth="1"/>
    <col min="13064" max="13312" width="9.140625" style="123"/>
    <col min="13313" max="13313" width="49.140625" style="123" customWidth="1"/>
    <col min="13314" max="13314" width="20.7109375" style="123" customWidth="1"/>
    <col min="13315" max="13315" width="9.140625" style="123"/>
    <col min="13316" max="13316" width="11.85546875" style="123" customWidth="1"/>
    <col min="13317" max="13317" width="11.7109375" style="123" customWidth="1"/>
    <col min="13318" max="13318" width="12.42578125" style="123" customWidth="1"/>
    <col min="13319" max="13319" width="13.42578125" style="123" customWidth="1"/>
    <col min="13320" max="13568" width="9.140625" style="123"/>
    <col min="13569" max="13569" width="49.140625" style="123" customWidth="1"/>
    <col min="13570" max="13570" width="20.7109375" style="123" customWidth="1"/>
    <col min="13571" max="13571" width="9.140625" style="123"/>
    <col min="13572" max="13572" width="11.85546875" style="123" customWidth="1"/>
    <col min="13573" max="13573" width="11.7109375" style="123" customWidth="1"/>
    <col min="13574" max="13574" width="12.42578125" style="123" customWidth="1"/>
    <col min="13575" max="13575" width="13.42578125" style="123" customWidth="1"/>
    <col min="13576" max="13824" width="9.140625" style="123"/>
    <col min="13825" max="13825" width="49.140625" style="123" customWidth="1"/>
    <col min="13826" max="13826" width="20.7109375" style="123" customWidth="1"/>
    <col min="13827" max="13827" width="9.140625" style="123"/>
    <col min="13828" max="13828" width="11.85546875" style="123" customWidth="1"/>
    <col min="13829" max="13829" width="11.7109375" style="123" customWidth="1"/>
    <col min="13830" max="13830" width="12.42578125" style="123" customWidth="1"/>
    <col min="13831" max="13831" width="13.42578125" style="123" customWidth="1"/>
    <col min="13832" max="14080" width="9.140625" style="123"/>
    <col min="14081" max="14081" width="49.140625" style="123" customWidth="1"/>
    <col min="14082" max="14082" width="20.7109375" style="123" customWidth="1"/>
    <col min="14083" max="14083" width="9.140625" style="123"/>
    <col min="14084" max="14084" width="11.85546875" style="123" customWidth="1"/>
    <col min="14085" max="14085" width="11.7109375" style="123" customWidth="1"/>
    <col min="14086" max="14086" width="12.42578125" style="123" customWidth="1"/>
    <col min="14087" max="14087" width="13.42578125" style="123" customWidth="1"/>
    <col min="14088" max="14336" width="9.140625" style="123"/>
    <col min="14337" max="14337" width="49.140625" style="123" customWidth="1"/>
    <col min="14338" max="14338" width="20.7109375" style="123" customWidth="1"/>
    <col min="14339" max="14339" width="9.140625" style="123"/>
    <col min="14340" max="14340" width="11.85546875" style="123" customWidth="1"/>
    <col min="14341" max="14341" width="11.7109375" style="123" customWidth="1"/>
    <col min="14342" max="14342" width="12.42578125" style="123" customWidth="1"/>
    <col min="14343" max="14343" width="13.42578125" style="123" customWidth="1"/>
    <col min="14344" max="14592" width="9.140625" style="123"/>
    <col min="14593" max="14593" width="49.140625" style="123" customWidth="1"/>
    <col min="14594" max="14594" width="20.7109375" style="123" customWidth="1"/>
    <col min="14595" max="14595" width="9.140625" style="123"/>
    <col min="14596" max="14596" width="11.85546875" style="123" customWidth="1"/>
    <col min="14597" max="14597" width="11.7109375" style="123" customWidth="1"/>
    <col min="14598" max="14598" width="12.42578125" style="123" customWidth="1"/>
    <col min="14599" max="14599" width="13.42578125" style="123" customWidth="1"/>
    <col min="14600" max="14848" width="9.140625" style="123"/>
    <col min="14849" max="14849" width="49.140625" style="123" customWidth="1"/>
    <col min="14850" max="14850" width="20.7109375" style="123" customWidth="1"/>
    <col min="14851" max="14851" width="9.140625" style="123"/>
    <col min="14852" max="14852" width="11.85546875" style="123" customWidth="1"/>
    <col min="14853" max="14853" width="11.7109375" style="123" customWidth="1"/>
    <col min="14854" max="14854" width="12.42578125" style="123" customWidth="1"/>
    <col min="14855" max="14855" width="13.42578125" style="123" customWidth="1"/>
    <col min="14856" max="15104" width="9.140625" style="123"/>
    <col min="15105" max="15105" width="49.140625" style="123" customWidth="1"/>
    <col min="15106" max="15106" width="20.7109375" style="123" customWidth="1"/>
    <col min="15107" max="15107" width="9.140625" style="123"/>
    <col min="15108" max="15108" width="11.85546875" style="123" customWidth="1"/>
    <col min="15109" max="15109" width="11.7109375" style="123" customWidth="1"/>
    <col min="15110" max="15110" width="12.42578125" style="123" customWidth="1"/>
    <col min="15111" max="15111" width="13.42578125" style="123" customWidth="1"/>
    <col min="15112" max="15360" width="9.140625" style="123"/>
    <col min="15361" max="15361" width="49.140625" style="123" customWidth="1"/>
    <col min="15362" max="15362" width="20.7109375" style="123" customWidth="1"/>
    <col min="15363" max="15363" width="9.140625" style="123"/>
    <col min="15364" max="15364" width="11.85546875" style="123" customWidth="1"/>
    <col min="15365" max="15365" width="11.7109375" style="123" customWidth="1"/>
    <col min="15366" max="15366" width="12.42578125" style="123" customWidth="1"/>
    <col min="15367" max="15367" width="13.42578125" style="123" customWidth="1"/>
    <col min="15368" max="15616" width="9.140625" style="123"/>
    <col min="15617" max="15617" width="49.140625" style="123" customWidth="1"/>
    <col min="15618" max="15618" width="20.7109375" style="123" customWidth="1"/>
    <col min="15619" max="15619" width="9.140625" style="123"/>
    <col min="15620" max="15620" width="11.85546875" style="123" customWidth="1"/>
    <col min="15621" max="15621" width="11.7109375" style="123" customWidth="1"/>
    <col min="15622" max="15622" width="12.42578125" style="123" customWidth="1"/>
    <col min="15623" max="15623" width="13.42578125" style="123" customWidth="1"/>
    <col min="15624" max="15872" width="9.140625" style="123"/>
    <col min="15873" max="15873" width="49.140625" style="123" customWidth="1"/>
    <col min="15874" max="15874" width="20.7109375" style="123" customWidth="1"/>
    <col min="15875" max="15875" width="9.140625" style="123"/>
    <col min="15876" max="15876" width="11.85546875" style="123" customWidth="1"/>
    <col min="15877" max="15877" width="11.7109375" style="123" customWidth="1"/>
    <col min="15878" max="15878" width="12.42578125" style="123" customWidth="1"/>
    <col min="15879" max="15879" width="13.42578125" style="123" customWidth="1"/>
    <col min="15880" max="16128" width="9.140625" style="123"/>
    <col min="16129" max="16129" width="49.140625" style="123" customWidth="1"/>
    <col min="16130" max="16130" width="20.7109375" style="123" customWidth="1"/>
    <col min="16131" max="16131" width="9.140625" style="123"/>
    <col min="16132" max="16132" width="11.85546875" style="123" customWidth="1"/>
    <col min="16133" max="16133" width="11.7109375" style="123" customWidth="1"/>
    <col min="16134" max="16134" width="12.42578125" style="123" customWidth="1"/>
    <col min="16135" max="16135" width="13.42578125" style="123" customWidth="1"/>
    <col min="16136" max="16384" width="9.140625" style="123"/>
  </cols>
  <sheetData>
    <row r="1" spans="1:12" ht="20.100000000000001" customHeight="1">
      <c r="A1" s="1122" t="s">
        <v>451</v>
      </c>
      <c r="B1" s="1123"/>
      <c r="D1" s="1122" t="s">
        <v>450</v>
      </c>
      <c r="E1" s="1123"/>
      <c r="F1" s="124"/>
      <c r="G1" s="124"/>
      <c r="H1" s="124"/>
      <c r="I1" s="124"/>
      <c r="J1" s="124"/>
      <c r="K1" s="124"/>
      <c r="L1" s="124"/>
    </row>
    <row r="2" spans="1:12" ht="20.100000000000001" customHeight="1">
      <c r="A2" s="1124" t="s">
        <v>274</v>
      </c>
      <c r="B2" s="1125"/>
      <c r="D2" s="1124" t="s">
        <v>274</v>
      </c>
      <c r="E2" s="1125"/>
    </row>
    <row r="3" spans="1:12" ht="20.100000000000001" customHeight="1">
      <c r="A3" s="510" t="s">
        <v>275</v>
      </c>
      <c r="B3" s="511">
        <f>'Cashflow 350 KTPA'!K10</f>
        <v>3094.3312153271104</v>
      </c>
      <c r="D3" s="510" t="s">
        <v>275</v>
      </c>
      <c r="E3" s="511">
        <f>'Cashflow 500 KTPA'!K10</f>
        <v>4420.4731647530152</v>
      </c>
      <c r="F3" s="126"/>
      <c r="G3" s="125"/>
    </row>
    <row r="4" spans="1:12" ht="20.100000000000001" customHeight="1">
      <c r="A4" s="510" t="s">
        <v>276</v>
      </c>
      <c r="B4" s="512"/>
      <c r="D4" s="510" t="s">
        <v>276</v>
      </c>
      <c r="E4" s="512"/>
      <c r="F4" s="127"/>
      <c r="G4" s="127"/>
    </row>
    <row r="5" spans="1:12" ht="20.100000000000001" customHeight="1">
      <c r="A5" s="513" t="s">
        <v>452</v>
      </c>
      <c r="B5" s="514">
        <f>'Cashflow 350 KTPA'!K14+'Cashflow 350 KTPA'!K15</f>
        <v>1024.297566827599</v>
      </c>
      <c r="D5" s="513" t="s">
        <v>452</v>
      </c>
      <c r="E5" s="514">
        <f>'Cashflow 500 KTPA'!J15+'Cashflow 500 KTPA'!J16</f>
        <v>1718.7995951992466</v>
      </c>
      <c r="F5" s="128"/>
      <c r="G5" s="129"/>
    </row>
    <row r="6" spans="1:12" ht="20.100000000000001" customHeight="1">
      <c r="A6" s="513" t="s">
        <v>17</v>
      </c>
      <c r="B6" s="514">
        <f>'Cashflow 350 KTPA'!K17</f>
        <v>179.39131484999996</v>
      </c>
      <c r="D6" s="513" t="s">
        <v>17</v>
      </c>
      <c r="E6" s="514">
        <f>'Cashflow 500 KTPA'!K18</f>
        <v>224.29620186874999</v>
      </c>
      <c r="F6" s="129"/>
      <c r="G6" s="129"/>
    </row>
    <row r="7" spans="1:12" ht="20.100000000000001" customHeight="1">
      <c r="A7" s="513" t="s">
        <v>15</v>
      </c>
      <c r="B7" s="514">
        <f>'Cashflow 350 KTPA'!K16</f>
        <v>30.708780423749996</v>
      </c>
      <c r="D7" s="513" t="s">
        <v>15</v>
      </c>
      <c r="E7" s="514">
        <f>'Cashflow 500 KTPA'!K17</f>
        <v>35.010976714999991</v>
      </c>
      <c r="F7" s="129"/>
      <c r="G7" s="129"/>
    </row>
    <row r="8" spans="1:12" ht="20.100000000000001" customHeight="1">
      <c r="A8" s="513" t="s">
        <v>21</v>
      </c>
      <c r="B8" s="514">
        <f>'Cashflow 350 KTPA'!K19</f>
        <v>88.771189675495322</v>
      </c>
      <c r="D8" s="513" t="s">
        <v>21</v>
      </c>
      <c r="E8" s="514">
        <f>'Cashflow 500 KTPA'!K20</f>
        <v>136.59935993199829</v>
      </c>
      <c r="F8" s="129"/>
      <c r="G8" s="129"/>
    </row>
    <row r="9" spans="1:12" ht="20.100000000000001" customHeight="1">
      <c r="A9" s="515" t="s">
        <v>277</v>
      </c>
      <c r="B9" s="511">
        <f>SUM(B5:B8)</f>
        <v>1323.1688517768443</v>
      </c>
      <c r="C9" s="130"/>
      <c r="D9" s="515" t="s">
        <v>277</v>
      </c>
      <c r="E9" s="511">
        <f>SUM(E5:E8)</f>
        <v>2114.7061337149948</v>
      </c>
      <c r="F9" s="131"/>
      <c r="G9" s="131"/>
    </row>
    <row r="10" spans="1:12" ht="20.100000000000001" customHeight="1">
      <c r="A10" s="510" t="s">
        <v>278</v>
      </c>
      <c r="B10" s="511">
        <f>+B3-B9</f>
        <v>1771.162363550266</v>
      </c>
      <c r="D10" s="510" t="s">
        <v>278</v>
      </c>
      <c r="E10" s="511">
        <f>+E3-E9</f>
        <v>2305.7670310380204</v>
      </c>
      <c r="F10" s="131"/>
      <c r="G10" s="131"/>
      <c r="H10" s="125"/>
    </row>
    <row r="11" spans="1:12" ht="20.100000000000001" customHeight="1">
      <c r="A11" s="510" t="s">
        <v>279</v>
      </c>
      <c r="B11" s="512"/>
      <c r="D11" s="510" t="s">
        <v>279</v>
      </c>
      <c r="E11" s="512"/>
      <c r="F11" s="127"/>
      <c r="G11" s="127"/>
      <c r="H11" s="125"/>
    </row>
    <row r="12" spans="1:12" ht="20.100000000000001" customHeight="1">
      <c r="A12" s="513" t="s">
        <v>20</v>
      </c>
      <c r="B12" s="514">
        <f>'Cashflow 350 KTPA'!K18</f>
        <v>78.842457207074617</v>
      </c>
      <c r="D12" s="513" t="s">
        <v>20</v>
      </c>
      <c r="E12" s="514">
        <f>'Cashflow 500 KTPA'!K19</f>
        <v>114.01719891595445</v>
      </c>
      <c r="F12" s="125"/>
      <c r="G12" s="125"/>
      <c r="H12" s="125"/>
    </row>
    <row r="13" spans="1:12" ht="20.100000000000001" customHeight="1">
      <c r="A13" s="513" t="s">
        <v>476</v>
      </c>
      <c r="B13" s="514">
        <f>'Interest Calculation'!B25</f>
        <v>311.95873258559999</v>
      </c>
      <c r="D13" s="513" t="s">
        <v>476</v>
      </c>
      <c r="E13" s="514">
        <f>'Interest Calculation'!B12</f>
        <v>454.00876378559997</v>
      </c>
      <c r="F13" s="125"/>
      <c r="G13" s="125"/>
      <c r="H13" s="125"/>
    </row>
    <row r="14" spans="1:12" ht="20.100000000000001" customHeight="1">
      <c r="A14" s="513" t="s">
        <v>31</v>
      </c>
      <c r="B14" s="514">
        <f>'Cashflow 350 KTPA'!G8/10</f>
        <v>415.94497678079995</v>
      </c>
      <c r="D14" s="513" t="s">
        <v>31</v>
      </c>
      <c r="E14" s="514">
        <f>'Cashflow 500 KTPA'!G8/10</f>
        <v>605.34501838079996</v>
      </c>
      <c r="F14" s="125"/>
      <c r="G14" s="125"/>
      <c r="H14" s="132"/>
    </row>
    <row r="15" spans="1:12" ht="20.100000000000001" customHeight="1">
      <c r="A15" s="513" t="s">
        <v>145</v>
      </c>
      <c r="B15" s="511">
        <f>SUM(B12:B14)</f>
        <v>806.74616657347451</v>
      </c>
      <c r="D15" s="513" t="s">
        <v>145</v>
      </c>
      <c r="E15" s="511">
        <f>SUM(E12:E14)</f>
        <v>1173.3709810823543</v>
      </c>
      <c r="F15" s="125"/>
      <c r="G15" s="125"/>
      <c r="H15" s="132"/>
    </row>
    <row r="16" spans="1:12" ht="20.100000000000001" customHeight="1">
      <c r="A16" s="516" t="s">
        <v>280</v>
      </c>
      <c r="B16" s="517">
        <f>B15/B10</f>
        <v>0.45548967343477476</v>
      </c>
      <c r="D16" s="516" t="s">
        <v>280</v>
      </c>
      <c r="E16" s="517">
        <f>E15/E10</f>
        <v>0.50888531464261633</v>
      </c>
      <c r="F16" s="133"/>
      <c r="G16" s="133"/>
      <c r="H16" s="132"/>
      <c r="I16" s="124"/>
    </row>
    <row r="17" spans="1:8" ht="20.100000000000001" customHeight="1">
      <c r="A17" s="127"/>
      <c r="B17" s="127"/>
      <c r="G17" s="132"/>
      <c r="H17" s="132"/>
    </row>
    <row r="18" spans="1:8" ht="20.100000000000001" customHeight="1">
      <c r="A18" s="127"/>
      <c r="B18" s="127"/>
    </row>
  </sheetData>
  <mergeCells count="4">
    <mergeCell ref="A1:B1"/>
    <mergeCell ref="A2:B2"/>
    <mergeCell ref="D1:E1"/>
    <mergeCell ref="D2:E2"/>
  </mergeCells>
  <printOptions horizontalCentered="1" gridLines="1"/>
  <pageMargins left="1"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8FFE1-0462-4764-9171-E25F8EAF5FF4}">
  <sheetPr codeName="Sheet18"/>
  <dimension ref="A1:M27"/>
  <sheetViews>
    <sheetView showGridLines="0" topLeftCell="A7" zoomScaleNormal="100" zoomScaleSheetLayoutView="98" workbookViewId="0">
      <selection activeCell="C20" sqref="C20"/>
    </sheetView>
  </sheetViews>
  <sheetFormatPr defaultRowHeight="12.75"/>
  <cols>
    <col min="1" max="1" width="4.85546875" style="123" customWidth="1"/>
    <col min="2" max="2" width="63.7109375" style="123" bestFit="1" customWidth="1"/>
    <col min="3" max="3" width="20.7109375" style="123" customWidth="1"/>
    <col min="4" max="4" width="9.140625" style="123"/>
    <col min="5" max="5" width="11.85546875" style="123" customWidth="1"/>
    <col min="6" max="6" width="11.7109375" style="123" customWidth="1"/>
    <col min="7" max="7" width="12.42578125" style="123" customWidth="1"/>
    <col min="8" max="8" width="13.42578125" style="123" customWidth="1"/>
    <col min="9" max="257" width="9.140625" style="123"/>
    <col min="258" max="258" width="49.140625" style="123" customWidth="1"/>
    <col min="259" max="259" width="20.7109375" style="123" customWidth="1"/>
    <col min="260" max="260" width="9.140625" style="123"/>
    <col min="261" max="261" width="11.85546875" style="123" customWidth="1"/>
    <col min="262" max="262" width="11.7109375" style="123" customWidth="1"/>
    <col min="263" max="263" width="12.42578125" style="123" customWidth="1"/>
    <col min="264" max="264" width="13.42578125" style="123" customWidth="1"/>
    <col min="265" max="513" width="9.140625" style="123"/>
    <col min="514" max="514" width="49.140625" style="123" customWidth="1"/>
    <col min="515" max="515" width="20.7109375" style="123" customWidth="1"/>
    <col min="516" max="516" width="9.140625" style="123"/>
    <col min="517" max="517" width="11.85546875" style="123" customWidth="1"/>
    <col min="518" max="518" width="11.7109375" style="123" customWidth="1"/>
    <col min="519" max="519" width="12.42578125" style="123" customWidth="1"/>
    <col min="520" max="520" width="13.42578125" style="123" customWidth="1"/>
    <col min="521" max="769" width="9.140625" style="123"/>
    <col min="770" max="770" width="49.140625" style="123" customWidth="1"/>
    <col min="771" max="771" width="20.7109375" style="123" customWidth="1"/>
    <col min="772" max="772" width="9.140625" style="123"/>
    <col min="773" max="773" width="11.85546875" style="123" customWidth="1"/>
    <col min="774" max="774" width="11.7109375" style="123" customWidth="1"/>
    <col min="775" max="775" width="12.42578125" style="123" customWidth="1"/>
    <col min="776" max="776" width="13.42578125" style="123" customWidth="1"/>
    <col min="777" max="1025" width="9.140625" style="123"/>
    <col min="1026" max="1026" width="49.140625" style="123" customWidth="1"/>
    <col min="1027" max="1027" width="20.7109375" style="123" customWidth="1"/>
    <col min="1028" max="1028" width="9.140625" style="123"/>
    <col min="1029" max="1029" width="11.85546875" style="123" customWidth="1"/>
    <col min="1030" max="1030" width="11.7109375" style="123" customWidth="1"/>
    <col min="1031" max="1031" width="12.42578125" style="123" customWidth="1"/>
    <col min="1032" max="1032" width="13.42578125" style="123" customWidth="1"/>
    <col min="1033" max="1281" width="9.140625" style="123"/>
    <col min="1282" max="1282" width="49.140625" style="123" customWidth="1"/>
    <col min="1283" max="1283" width="20.7109375" style="123" customWidth="1"/>
    <col min="1284" max="1284" width="9.140625" style="123"/>
    <col min="1285" max="1285" width="11.85546875" style="123" customWidth="1"/>
    <col min="1286" max="1286" width="11.7109375" style="123" customWidth="1"/>
    <col min="1287" max="1287" width="12.42578125" style="123" customWidth="1"/>
    <col min="1288" max="1288" width="13.42578125" style="123" customWidth="1"/>
    <col min="1289" max="1537" width="9.140625" style="123"/>
    <col min="1538" max="1538" width="49.140625" style="123" customWidth="1"/>
    <col min="1539" max="1539" width="20.7109375" style="123" customWidth="1"/>
    <col min="1540" max="1540" width="9.140625" style="123"/>
    <col min="1541" max="1541" width="11.85546875" style="123" customWidth="1"/>
    <col min="1542" max="1542" width="11.7109375" style="123" customWidth="1"/>
    <col min="1543" max="1543" width="12.42578125" style="123" customWidth="1"/>
    <col min="1544" max="1544" width="13.42578125" style="123" customWidth="1"/>
    <col min="1545" max="1793" width="9.140625" style="123"/>
    <col min="1794" max="1794" width="49.140625" style="123" customWidth="1"/>
    <col min="1795" max="1795" width="20.7109375" style="123" customWidth="1"/>
    <col min="1796" max="1796" width="9.140625" style="123"/>
    <col min="1797" max="1797" width="11.85546875" style="123" customWidth="1"/>
    <col min="1798" max="1798" width="11.7109375" style="123" customWidth="1"/>
    <col min="1799" max="1799" width="12.42578125" style="123" customWidth="1"/>
    <col min="1800" max="1800" width="13.42578125" style="123" customWidth="1"/>
    <col min="1801" max="2049" width="9.140625" style="123"/>
    <col min="2050" max="2050" width="49.140625" style="123" customWidth="1"/>
    <col min="2051" max="2051" width="20.7109375" style="123" customWidth="1"/>
    <col min="2052" max="2052" width="9.140625" style="123"/>
    <col min="2053" max="2053" width="11.85546875" style="123" customWidth="1"/>
    <col min="2054" max="2054" width="11.7109375" style="123" customWidth="1"/>
    <col min="2055" max="2055" width="12.42578125" style="123" customWidth="1"/>
    <col min="2056" max="2056" width="13.42578125" style="123" customWidth="1"/>
    <col min="2057" max="2305" width="9.140625" style="123"/>
    <col min="2306" max="2306" width="49.140625" style="123" customWidth="1"/>
    <col min="2307" max="2307" width="20.7109375" style="123" customWidth="1"/>
    <col min="2308" max="2308" width="9.140625" style="123"/>
    <col min="2309" max="2309" width="11.85546875" style="123" customWidth="1"/>
    <col min="2310" max="2310" width="11.7109375" style="123" customWidth="1"/>
    <col min="2311" max="2311" width="12.42578125" style="123" customWidth="1"/>
    <col min="2312" max="2312" width="13.42578125" style="123" customWidth="1"/>
    <col min="2313" max="2561" width="9.140625" style="123"/>
    <col min="2562" max="2562" width="49.140625" style="123" customWidth="1"/>
    <col min="2563" max="2563" width="20.7109375" style="123" customWidth="1"/>
    <col min="2564" max="2564" width="9.140625" style="123"/>
    <col min="2565" max="2565" width="11.85546875" style="123" customWidth="1"/>
    <col min="2566" max="2566" width="11.7109375" style="123" customWidth="1"/>
    <col min="2567" max="2567" width="12.42578125" style="123" customWidth="1"/>
    <col min="2568" max="2568" width="13.42578125" style="123" customWidth="1"/>
    <col min="2569" max="2817" width="9.140625" style="123"/>
    <col min="2818" max="2818" width="49.140625" style="123" customWidth="1"/>
    <col min="2819" max="2819" width="20.7109375" style="123" customWidth="1"/>
    <col min="2820" max="2820" width="9.140625" style="123"/>
    <col min="2821" max="2821" width="11.85546875" style="123" customWidth="1"/>
    <col min="2822" max="2822" width="11.7109375" style="123" customWidth="1"/>
    <col min="2823" max="2823" width="12.42578125" style="123" customWidth="1"/>
    <col min="2824" max="2824" width="13.42578125" style="123" customWidth="1"/>
    <col min="2825" max="3073" width="9.140625" style="123"/>
    <col min="3074" max="3074" width="49.140625" style="123" customWidth="1"/>
    <col min="3075" max="3075" width="20.7109375" style="123" customWidth="1"/>
    <col min="3076" max="3076" width="9.140625" style="123"/>
    <col min="3077" max="3077" width="11.85546875" style="123" customWidth="1"/>
    <col min="3078" max="3078" width="11.7109375" style="123" customWidth="1"/>
    <col min="3079" max="3079" width="12.42578125" style="123" customWidth="1"/>
    <col min="3080" max="3080" width="13.42578125" style="123" customWidth="1"/>
    <col min="3081" max="3329" width="9.140625" style="123"/>
    <col min="3330" max="3330" width="49.140625" style="123" customWidth="1"/>
    <col min="3331" max="3331" width="20.7109375" style="123" customWidth="1"/>
    <col min="3332" max="3332" width="9.140625" style="123"/>
    <col min="3333" max="3333" width="11.85546875" style="123" customWidth="1"/>
    <col min="3334" max="3334" width="11.7109375" style="123" customWidth="1"/>
    <col min="3335" max="3335" width="12.42578125" style="123" customWidth="1"/>
    <col min="3336" max="3336" width="13.42578125" style="123" customWidth="1"/>
    <col min="3337" max="3585" width="9.140625" style="123"/>
    <col min="3586" max="3586" width="49.140625" style="123" customWidth="1"/>
    <col min="3587" max="3587" width="20.7109375" style="123" customWidth="1"/>
    <col min="3588" max="3588" width="9.140625" style="123"/>
    <col min="3589" max="3589" width="11.85546875" style="123" customWidth="1"/>
    <col min="3590" max="3590" width="11.7109375" style="123" customWidth="1"/>
    <col min="3591" max="3591" width="12.42578125" style="123" customWidth="1"/>
    <col min="3592" max="3592" width="13.42578125" style="123" customWidth="1"/>
    <col min="3593" max="3841" width="9.140625" style="123"/>
    <col min="3842" max="3842" width="49.140625" style="123" customWidth="1"/>
    <col min="3843" max="3843" width="20.7109375" style="123" customWidth="1"/>
    <col min="3844" max="3844" width="9.140625" style="123"/>
    <col min="3845" max="3845" width="11.85546875" style="123" customWidth="1"/>
    <col min="3846" max="3846" width="11.7109375" style="123" customWidth="1"/>
    <col min="3847" max="3847" width="12.42578125" style="123" customWidth="1"/>
    <col min="3848" max="3848" width="13.42578125" style="123" customWidth="1"/>
    <col min="3849" max="4097" width="9.140625" style="123"/>
    <col min="4098" max="4098" width="49.140625" style="123" customWidth="1"/>
    <col min="4099" max="4099" width="20.7109375" style="123" customWidth="1"/>
    <col min="4100" max="4100" width="9.140625" style="123"/>
    <col min="4101" max="4101" width="11.85546875" style="123" customWidth="1"/>
    <col min="4102" max="4102" width="11.7109375" style="123" customWidth="1"/>
    <col min="4103" max="4103" width="12.42578125" style="123" customWidth="1"/>
    <col min="4104" max="4104" width="13.42578125" style="123" customWidth="1"/>
    <col min="4105" max="4353" width="9.140625" style="123"/>
    <col min="4354" max="4354" width="49.140625" style="123" customWidth="1"/>
    <col min="4355" max="4355" width="20.7109375" style="123" customWidth="1"/>
    <col min="4356" max="4356" width="9.140625" style="123"/>
    <col min="4357" max="4357" width="11.85546875" style="123" customWidth="1"/>
    <col min="4358" max="4358" width="11.7109375" style="123" customWidth="1"/>
    <col min="4359" max="4359" width="12.42578125" style="123" customWidth="1"/>
    <col min="4360" max="4360" width="13.42578125" style="123" customWidth="1"/>
    <col min="4361" max="4609" width="9.140625" style="123"/>
    <col min="4610" max="4610" width="49.140625" style="123" customWidth="1"/>
    <col min="4611" max="4611" width="20.7109375" style="123" customWidth="1"/>
    <col min="4612" max="4612" width="9.140625" style="123"/>
    <col min="4613" max="4613" width="11.85546875" style="123" customWidth="1"/>
    <col min="4614" max="4614" width="11.7109375" style="123" customWidth="1"/>
    <col min="4615" max="4615" width="12.42578125" style="123" customWidth="1"/>
    <col min="4616" max="4616" width="13.42578125" style="123" customWidth="1"/>
    <col min="4617" max="4865" width="9.140625" style="123"/>
    <col min="4866" max="4866" width="49.140625" style="123" customWidth="1"/>
    <col min="4867" max="4867" width="20.7109375" style="123" customWidth="1"/>
    <col min="4868" max="4868" width="9.140625" style="123"/>
    <col min="4869" max="4869" width="11.85546875" style="123" customWidth="1"/>
    <col min="4870" max="4870" width="11.7109375" style="123" customWidth="1"/>
    <col min="4871" max="4871" width="12.42578125" style="123" customWidth="1"/>
    <col min="4872" max="4872" width="13.42578125" style="123" customWidth="1"/>
    <col min="4873" max="5121" width="9.140625" style="123"/>
    <col min="5122" max="5122" width="49.140625" style="123" customWidth="1"/>
    <col min="5123" max="5123" width="20.7109375" style="123" customWidth="1"/>
    <col min="5124" max="5124" width="9.140625" style="123"/>
    <col min="5125" max="5125" width="11.85546875" style="123" customWidth="1"/>
    <col min="5126" max="5126" width="11.7109375" style="123" customWidth="1"/>
    <col min="5127" max="5127" width="12.42578125" style="123" customWidth="1"/>
    <col min="5128" max="5128" width="13.42578125" style="123" customWidth="1"/>
    <col min="5129" max="5377" width="9.140625" style="123"/>
    <col min="5378" max="5378" width="49.140625" style="123" customWidth="1"/>
    <col min="5379" max="5379" width="20.7109375" style="123" customWidth="1"/>
    <col min="5380" max="5380" width="9.140625" style="123"/>
    <col min="5381" max="5381" width="11.85546875" style="123" customWidth="1"/>
    <col min="5382" max="5382" width="11.7109375" style="123" customWidth="1"/>
    <col min="5383" max="5383" width="12.42578125" style="123" customWidth="1"/>
    <col min="5384" max="5384" width="13.42578125" style="123" customWidth="1"/>
    <col min="5385" max="5633" width="9.140625" style="123"/>
    <col min="5634" max="5634" width="49.140625" style="123" customWidth="1"/>
    <col min="5635" max="5635" width="20.7109375" style="123" customWidth="1"/>
    <col min="5636" max="5636" width="9.140625" style="123"/>
    <col min="5637" max="5637" width="11.85546875" style="123" customWidth="1"/>
    <col min="5638" max="5638" width="11.7109375" style="123" customWidth="1"/>
    <col min="5639" max="5639" width="12.42578125" style="123" customWidth="1"/>
    <col min="5640" max="5640" width="13.42578125" style="123" customWidth="1"/>
    <col min="5641" max="5889" width="9.140625" style="123"/>
    <col min="5890" max="5890" width="49.140625" style="123" customWidth="1"/>
    <col min="5891" max="5891" width="20.7109375" style="123" customWidth="1"/>
    <col min="5892" max="5892" width="9.140625" style="123"/>
    <col min="5893" max="5893" width="11.85546875" style="123" customWidth="1"/>
    <col min="5894" max="5894" width="11.7109375" style="123" customWidth="1"/>
    <col min="5895" max="5895" width="12.42578125" style="123" customWidth="1"/>
    <col min="5896" max="5896" width="13.42578125" style="123" customWidth="1"/>
    <col min="5897" max="6145" width="9.140625" style="123"/>
    <col min="6146" max="6146" width="49.140625" style="123" customWidth="1"/>
    <col min="6147" max="6147" width="20.7109375" style="123" customWidth="1"/>
    <col min="6148" max="6148" width="9.140625" style="123"/>
    <col min="6149" max="6149" width="11.85546875" style="123" customWidth="1"/>
    <col min="6150" max="6150" width="11.7109375" style="123" customWidth="1"/>
    <col min="6151" max="6151" width="12.42578125" style="123" customWidth="1"/>
    <col min="6152" max="6152" width="13.42578125" style="123" customWidth="1"/>
    <col min="6153" max="6401" width="9.140625" style="123"/>
    <col min="6402" max="6402" width="49.140625" style="123" customWidth="1"/>
    <col min="6403" max="6403" width="20.7109375" style="123" customWidth="1"/>
    <col min="6404" max="6404" width="9.140625" style="123"/>
    <col min="6405" max="6405" width="11.85546875" style="123" customWidth="1"/>
    <col min="6406" max="6406" width="11.7109375" style="123" customWidth="1"/>
    <col min="6407" max="6407" width="12.42578125" style="123" customWidth="1"/>
    <col min="6408" max="6408" width="13.42578125" style="123" customWidth="1"/>
    <col min="6409" max="6657" width="9.140625" style="123"/>
    <col min="6658" max="6658" width="49.140625" style="123" customWidth="1"/>
    <col min="6659" max="6659" width="20.7109375" style="123" customWidth="1"/>
    <col min="6660" max="6660" width="9.140625" style="123"/>
    <col min="6661" max="6661" width="11.85546875" style="123" customWidth="1"/>
    <col min="6662" max="6662" width="11.7109375" style="123" customWidth="1"/>
    <col min="6663" max="6663" width="12.42578125" style="123" customWidth="1"/>
    <col min="6664" max="6664" width="13.42578125" style="123" customWidth="1"/>
    <col min="6665" max="6913" width="9.140625" style="123"/>
    <col min="6914" max="6914" width="49.140625" style="123" customWidth="1"/>
    <col min="6915" max="6915" width="20.7109375" style="123" customWidth="1"/>
    <col min="6916" max="6916" width="9.140625" style="123"/>
    <col min="6917" max="6917" width="11.85546875" style="123" customWidth="1"/>
    <col min="6918" max="6918" width="11.7109375" style="123" customWidth="1"/>
    <col min="6919" max="6919" width="12.42578125" style="123" customWidth="1"/>
    <col min="6920" max="6920" width="13.42578125" style="123" customWidth="1"/>
    <col min="6921" max="7169" width="9.140625" style="123"/>
    <col min="7170" max="7170" width="49.140625" style="123" customWidth="1"/>
    <col min="7171" max="7171" width="20.7109375" style="123" customWidth="1"/>
    <col min="7172" max="7172" width="9.140625" style="123"/>
    <col min="7173" max="7173" width="11.85546875" style="123" customWidth="1"/>
    <col min="7174" max="7174" width="11.7109375" style="123" customWidth="1"/>
    <col min="7175" max="7175" width="12.42578125" style="123" customWidth="1"/>
    <col min="7176" max="7176" width="13.42578125" style="123" customWidth="1"/>
    <col min="7177" max="7425" width="9.140625" style="123"/>
    <col min="7426" max="7426" width="49.140625" style="123" customWidth="1"/>
    <col min="7427" max="7427" width="20.7109375" style="123" customWidth="1"/>
    <col min="7428" max="7428" width="9.140625" style="123"/>
    <col min="7429" max="7429" width="11.85546875" style="123" customWidth="1"/>
    <col min="7430" max="7430" width="11.7109375" style="123" customWidth="1"/>
    <col min="7431" max="7431" width="12.42578125" style="123" customWidth="1"/>
    <col min="7432" max="7432" width="13.42578125" style="123" customWidth="1"/>
    <col min="7433" max="7681" width="9.140625" style="123"/>
    <col min="7682" max="7682" width="49.140625" style="123" customWidth="1"/>
    <col min="7683" max="7683" width="20.7109375" style="123" customWidth="1"/>
    <col min="7684" max="7684" width="9.140625" style="123"/>
    <col min="7685" max="7685" width="11.85546875" style="123" customWidth="1"/>
    <col min="7686" max="7686" width="11.7109375" style="123" customWidth="1"/>
    <col min="7687" max="7687" width="12.42578125" style="123" customWidth="1"/>
    <col min="7688" max="7688" width="13.42578125" style="123" customWidth="1"/>
    <col min="7689" max="7937" width="9.140625" style="123"/>
    <col min="7938" max="7938" width="49.140625" style="123" customWidth="1"/>
    <col min="7939" max="7939" width="20.7109375" style="123" customWidth="1"/>
    <col min="7940" max="7940" width="9.140625" style="123"/>
    <col min="7941" max="7941" width="11.85546875" style="123" customWidth="1"/>
    <col min="7942" max="7942" width="11.7109375" style="123" customWidth="1"/>
    <col min="7943" max="7943" width="12.42578125" style="123" customWidth="1"/>
    <col min="7944" max="7944" width="13.42578125" style="123" customWidth="1"/>
    <col min="7945" max="8193" width="9.140625" style="123"/>
    <col min="8194" max="8194" width="49.140625" style="123" customWidth="1"/>
    <col min="8195" max="8195" width="20.7109375" style="123" customWidth="1"/>
    <col min="8196" max="8196" width="9.140625" style="123"/>
    <col min="8197" max="8197" width="11.85546875" style="123" customWidth="1"/>
    <col min="8198" max="8198" width="11.7109375" style="123" customWidth="1"/>
    <col min="8199" max="8199" width="12.42578125" style="123" customWidth="1"/>
    <col min="8200" max="8200" width="13.42578125" style="123" customWidth="1"/>
    <col min="8201" max="8449" width="9.140625" style="123"/>
    <col min="8450" max="8450" width="49.140625" style="123" customWidth="1"/>
    <col min="8451" max="8451" width="20.7109375" style="123" customWidth="1"/>
    <col min="8452" max="8452" width="9.140625" style="123"/>
    <col min="8453" max="8453" width="11.85546875" style="123" customWidth="1"/>
    <col min="8454" max="8454" width="11.7109375" style="123" customWidth="1"/>
    <col min="8455" max="8455" width="12.42578125" style="123" customWidth="1"/>
    <col min="8456" max="8456" width="13.42578125" style="123" customWidth="1"/>
    <col min="8457" max="8705" width="9.140625" style="123"/>
    <col min="8706" max="8706" width="49.140625" style="123" customWidth="1"/>
    <col min="8707" max="8707" width="20.7109375" style="123" customWidth="1"/>
    <col min="8708" max="8708" width="9.140625" style="123"/>
    <col min="8709" max="8709" width="11.85546875" style="123" customWidth="1"/>
    <col min="8710" max="8710" width="11.7109375" style="123" customWidth="1"/>
    <col min="8711" max="8711" width="12.42578125" style="123" customWidth="1"/>
    <col min="8712" max="8712" width="13.42578125" style="123" customWidth="1"/>
    <col min="8713" max="8961" width="9.140625" style="123"/>
    <col min="8962" max="8962" width="49.140625" style="123" customWidth="1"/>
    <col min="8963" max="8963" width="20.7109375" style="123" customWidth="1"/>
    <col min="8964" max="8964" width="9.140625" style="123"/>
    <col min="8965" max="8965" width="11.85546875" style="123" customWidth="1"/>
    <col min="8966" max="8966" width="11.7109375" style="123" customWidth="1"/>
    <col min="8967" max="8967" width="12.42578125" style="123" customWidth="1"/>
    <col min="8968" max="8968" width="13.42578125" style="123" customWidth="1"/>
    <col min="8969" max="9217" width="9.140625" style="123"/>
    <col min="9218" max="9218" width="49.140625" style="123" customWidth="1"/>
    <col min="9219" max="9219" width="20.7109375" style="123" customWidth="1"/>
    <col min="9220" max="9220" width="9.140625" style="123"/>
    <col min="9221" max="9221" width="11.85546875" style="123" customWidth="1"/>
    <col min="9222" max="9222" width="11.7109375" style="123" customWidth="1"/>
    <col min="9223" max="9223" width="12.42578125" style="123" customWidth="1"/>
    <col min="9224" max="9224" width="13.42578125" style="123" customWidth="1"/>
    <col min="9225" max="9473" width="9.140625" style="123"/>
    <col min="9474" max="9474" width="49.140625" style="123" customWidth="1"/>
    <col min="9475" max="9475" width="20.7109375" style="123" customWidth="1"/>
    <col min="9476" max="9476" width="9.140625" style="123"/>
    <col min="9477" max="9477" width="11.85546875" style="123" customWidth="1"/>
    <col min="9478" max="9478" width="11.7109375" style="123" customWidth="1"/>
    <col min="9479" max="9479" width="12.42578125" style="123" customWidth="1"/>
    <col min="9480" max="9480" width="13.42578125" style="123" customWidth="1"/>
    <col min="9481" max="9729" width="9.140625" style="123"/>
    <col min="9730" max="9730" width="49.140625" style="123" customWidth="1"/>
    <col min="9731" max="9731" width="20.7109375" style="123" customWidth="1"/>
    <col min="9732" max="9732" width="9.140625" style="123"/>
    <col min="9733" max="9733" width="11.85546875" style="123" customWidth="1"/>
    <col min="9734" max="9734" width="11.7109375" style="123" customWidth="1"/>
    <col min="9735" max="9735" width="12.42578125" style="123" customWidth="1"/>
    <col min="9736" max="9736" width="13.42578125" style="123" customWidth="1"/>
    <col min="9737" max="9985" width="9.140625" style="123"/>
    <col min="9986" max="9986" width="49.140625" style="123" customWidth="1"/>
    <col min="9987" max="9987" width="20.7109375" style="123" customWidth="1"/>
    <col min="9988" max="9988" width="9.140625" style="123"/>
    <col min="9989" max="9989" width="11.85546875" style="123" customWidth="1"/>
    <col min="9990" max="9990" width="11.7109375" style="123" customWidth="1"/>
    <col min="9991" max="9991" width="12.42578125" style="123" customWidth="1"/>
    <col min="9992" max="9992" width="13.42578125" style="123" customWidth="1"/>
    <col min="9993" max="10241" width="9.140625" style="123"/>
    <col min="10242" max="10242" width="49.140625" style="123" customWidth="1"/>
    <col min="10243" max="10243" width="20.7109375" style="123" customWidth="1"/>
    <col min="10244" max="10244" width="9.140625" style="123"/>
    <col min="10245" max="10245" width="11.85546875" style="123" customWidth="1"/>
    <col min="10246" max="10246" width="11.7109375" style="123" customWidth="1"/>
    <col min="10247" max="10247" width="12.42578125" style="123" customWidth="1"/>
    <col min="10248" max="10248" width="13.42578125" style="123" customWidth="1"/>
    <col min="10249" max="10497" width="9.140625" style="123"/>
    <col min="10498" max="10498" width="49.140625" style="123" customWidth="1"/>
    <col min="10499" max="10499" width="20.7109375" style="123" customWidth="1"/>
    <col min="10500" max="10500" width="9.140625" style="123"/>
    <col min="10501" max="10501" width="11.85546875" style="123" customWidth="1"/>
    <col min="10502" max="10502" width="11.7109375" style="123" customWidth="1"/>
    <col min="10503" max="10503" width="12.42578125" style="123" customWidth="1"/>
    <col min="10504" max="10504" width="13.42578125" style="123" customWidth="1"/>
    <col min="10505" max="10753" width="9.140625" style="123"/>
    <col min="10754" max="10754" width="49.140625" style="123" customWidth="1"/>
    <col min="10755" max="10755" width="20.7109375" style="123" customWidth="1"/>
    <col min="10756" max="10756" width="9.140625" style="123"/>
    <col min="10757" max="10757" width="11.85546875" style="123" customWidth="1"/>
    <col min="10758" max="10758" width="11.7109375" style="123" customWidth="1"/>
    <col min="10759" max="10759" width="12.42578125" style="123" customWidth="1"/>
    <col min="10760" max="10760" width="13.42578125" style="123" customWidth="1"/>
    <col min="10761" max="11009" width="9.140625" style="123"/>
    <col min="11010" max="11010" width="49.140625" style="123" customWidth="1"/>
    <col min="11011" max="11011" width="20.7109375" style="123" customWidth="1"/>
    <col min="11012" max="11012" width="9.140625" style="123"/>
    <col min="11013" max="11013" width="11.85546875" style="123" customWidth="1"/>
    <col min="11014" max="11014" width="11.7109375" style="123" customWidth="1"/>
    <col min="11015" max="11015" width="12.42578125" style="123" customWidth="1"/>
    <col min="11016" max="11016" width="13.42578125" style="123" customWidth="1"/>
    <col min="11017" max="11265" width="9.140625" style="123"/>
    <col min="11266" max="11266" width="49.140625" style="123" customWidth="1"/>
    <col min="11267" max="11267" width="20.7109375" style="123" customWidth="1"/>
    <col min="11268" max="11268" width="9.140625" style="123"/>
    <col min="11269" max="11269" width="11.85546875" style="123" customWidth="1"/>
    <col min="11270" max="11270" width="11.7109375" style="123" customWidth="1"/>
    <col min="11271" max="11271" width="12.42578125" style="123" customWidth="1"/>
    <col min="11272" max="11272" width="13.42578125" style="123" customWidth="1"/>
    <col min="11273" max="11521" width="9.140625" style="123"/>
    <col min="11522" max="11522" width="49.140625" style="123" customWidth="1"/>
    <col min="11523" max="11523" width="20.7109375" style="123" customWidth="1"/>
    <col min="11524" max="11524" width="9.140625" style="123"/>
    <col min="11525" max="11525" width="11.85546875" style="123" customWidth="1"/>
    <col min="11526" max="11526" width="11.7109375" style="123" customWidth="1"/>
    <col min="11527" max="11527" width="12.42578125" style="123" customWidth="1"/>
    <col min="11528" max="11528" width="13.42578125" style="123" customWidth="1"/>
    <col min="11529" max="11777" width="9.140625" style="123"/>
    <col min="11778" max="11778" width="49.140625" style="123" customWidth="1"/>
    <col min="11779" max="11779" width="20.7109375" style="123" customWidth="1"/>
    <col min="11780" max="11780" width="9.140625" style="123"/>
    <col min="11781" max="11781" width="11.85546875" style="123" customWidth="1"/>
    <col min="11782" max="11782" width="11.7109375" style="123" customWidth="1"/>
    <col min="11783" max="11783" width="12.42578125" style="123" customWidth="1"/>
    <col min="11784" max="11784" width="13.42578125" style="123" customWidth="1"/>
    <col min="11785" max="12033" width="9.140625" style="123"/>
    <col min="12034" max="12034" width="49.140625" style="123" customWidth="1"/>
    <col min="12035" max="12035" width="20.7109375" style="123" customWidth="1"/>
    <col min="12036" max="12036" width="9.140625" style="123"/>
    <col min="12037" max="12037" width="11.85546875" style="123" customWidth="1"/>
    <col min="12038" max="12038" width="11.7109375" style="123" customWidth="1"/>
    <col min="12039" max="12039" width="12.42578125" style="123" customWidth="1"/>
    <col min="12040" max="12040" width="13.42578125" style="123" customWidth="1"/>
    <col min="12041" max="12289" width="9.140625" style="123"/>
    <col min="12290" max="12290" width="49.140625" style="123" customWidth="1"/>
    <col min="12291" max="12291" width="20.7109375" style="123" customWidth="1"/>
    <col min="12292" max="12292" width="9.140625" style="123"/>
    <col min="12293" max="12293" width="11.85546875" style="123" customWidth="1"/>
    <col min="12294" max="12294" width="11.7109375" style="123" customWidth="1"/>
    <col min="12295" max="12295" width="12.42578125" style="123" customWidth="1"/>
    <col min="12296" max="12296" width="13.42578125" style="123" customWidth="1"/>
    <col min="12297" max="12545" width="9.140625" style="123"/>
    <col min="12546" max="12546" width="49.140625" style="123" customWidth="1"/>
    <col min="12547" max="12547" width="20.7109375" style="123" customWidth="1"/>
    <col min="12548" max="12548" width="9.140625" style="123"/>
    <col min="12549" max="12549" width="11.85546875" style="123" customWidth="1"/>
    <col min="12550" max="12550" width="11.7109375" style="123" customWidth="1"/>
    <col min="12551" max="12551" width="12.42578125" style="123" customWidth="1"/>
    <col min="12552" max="12552" width="13.42578125" style="123" customWidth="1"/>
    <col min="12553" max="12801" width="9.140625" style="123"/>
    <col min="12802" max="12802" width="49.140625" style="123" customWidth="1"/>
    <col min="12803" max="12803" width="20.7109375" style="123" customWidth="1"/>
    <col min="12804" max="12804" width="9.140625" style="123"/>
    <col min="12805" max="12805" width="11.85546875" style="123" customWidth="1"/>
    <col min="12806" max="12806" width="11.7109375" style="123" customWidth="1"/>
    <col min="12807" max="12807" width="12.42578125" style="123" customWidth="1"/>
    <col min="12808" max="12808" width="13.42578125" style="123" customWidth="1"/>
    <col min="12809" max="13057" width="9.140625" style="123"/>
    <col min="13058" max="13058" width="49.140625" style="123" customWidth="1"/>
    <col min="13059" max="13059" width="20.7109375" style="123" customWidth="1"/>
    <col min="13060" max="13060" width="9.140625" style="123"/>
    <col min="13061" max="13061" width="11.85546875" style="123" customWidth="1"/>
    <col min="13062" max="13062" width="11.7109375" style="123" customWidth="1"/>
    <col min="13063" max="13063" width="12.42578125" style="123" customWidth="1"/>
    <col min="13064" max="13064" width="13.42578125" style="123" customWidth="1"/>
    <col min="13065" max="13313" width="9.140625" style="123"/>
    <col min="13314" max="13314" width="49.140625" style="123" customWidth="1"/>
    <col min="13315" max="13315" width="20.7109375" style="123" customWidth="1"/>
    <col min="13316" max="13316" width="9.140625" style="123"/>
    <col min="13317" max="13317" width="11.85546875" style="123" customWidth="1"/>
    <col min="13318" max="13318" width="11.7109375" style="123" customWidth="1"/>
    <col min="13319" max="13319" width="12.42578125" style="123" customWidth="1"/>
    <col min="13320" max="13320" width="13.42578125" style="123" customWidth="1"/>
    <col min="13321" max="13569" width="9.140625" style="123"/>
    <col min="13570" max="13570" width="49.140625" style="123" customWidth="1"/>
    <col min="13571" max="13571" width="20.7109375" style="123" customWidth="1"/>
    <col min="13572" max="13572" width="9.140625" style="123"/>
    <col min="13573" max="13573" width="11.85546875" style="123" customWidth="1"/>
    <col min="13574" max="13574" width="11.7109375" style="123" customWidth="1"/>
    <col min="13575" max="13575" width="12.42578125" style="123" customWidth="1"/>
    <col min="13576" max="13576" width="13.42578125" style="123" customWidth="1"/>
    <col min="13577" max="13825" width="9.140625" style="123"/>
    <col min="13826" max="13826" width="49.140625" style="123" customWidth="1"/>
    <col min="13827" max="13827" width="20.7109375" style="123" customWidth="1"/>
    <col min="13828" max="13828" width="9.140625" style="123"/>
    <col min="13829" max="13829" width="11.85546875" style="123" customWidth="1"/>
    <col min="13830" max="13830" width="11.7109375" style="123" customWidth="1"/>
    <col min="13831" max="13831" width="12.42578125" style="123" customWidth="1"/>
    <col min="13832" max="13832" width="13.42578125" style="123" customWidth="1"/>
    <col min="13833" max="14081" width="9.140625" style="123"/>
    <col min="14082" max="14082" width="49.140625" style="123" customWidth="1"/>
    <col min="14083" max="14083" width="20.7109375" style="123" customWidth="1"/>
    <col min="14084" max="14084" width="9.140625" style="123"/>
    <col min="14085" max="14085" width="11.85546875" style="123" customWidth="1"/>
    <col min="14086" max="14086" width="11.7109375" style="123" customWidth="1"/>
    <col min="14087" max="14087" width="12.42578125" style="123" customWidth="1"/>
    <col min="14088" max="14088" width="13.42578125" style="123" customWidth="1"/>
    <col min="14089" max="14337" width="9.140625" style="123"/>
    <col min="14338" max="14338" width="49.140625" style="123" customWidth="1"/>
    <col min="14339" max="14339" width="20.7109375" style="123" customWidth="1"/>
    <col min="14340" max="14340" width="9.140625" style="123"/>
    <col min="14341" max="14341" width="11.85546875" style="123" customWidth="1"/>
    <col min="14342" max="14342" width="11.7109375" style="123" customWidth="1"/>
    <col min="14343" max="14343" width="12.42578125" style="123" customWidth="1"/>
    <col min="14344" max="14344" width="13.42578125" style="123" customWidth="1"/>
    <col min="14345" max="14593" width="9.140625" style="123"/>
    <col min="14594" max="14594" width="49.140625" style="123" customWidth="1"/>
    <col min="14595" max="14595" width="20.7109375" style="123" customWidth="1"/>
    <col min="14596" max="14596" width="9.140625" style="123"/>
    <col min="14597" max="14597" width="11.85546875" style="123" customWidth="1"/>
    <col min="14598" max="14598" width="11.7109375" style="123" customWidth="1"/>
    <col min="14599" max="14599" width="12.42578125" style="123" customWidth="1"/>
    <col min="14600" max="14600" width="13.42578125" style="123" customWidth="1"/>
    <col min="14601" max="14849" width="9.140625" style="123"/>
    <col min="14850" max="14850" width="49.140625" style="123" customWidth="1"/>
    <col min="14851" max="14851" width="20.7109375" style="123" customWidth="1"/>
    <col min="14852" max="14852" width="9.140625" style="123"/>
    <col min="14853" max="14853" width="11.85546875" style="123" customWidth="1"/>
    <col min="14854" max="14854" width="11.7109375" style="123" customWidth="1"/>
    <col min="14855" max="14855" width="12.42578125" style="123" customWidth="1"/>
    <col min="14856" max="14856" width="13.42578125" style="123" customWidth="1"/>
    <col min="14857" max="15105" width="9.140625" style="123"/>
    <col min="15106" max="15106" width="49.140625" style="123" customWidth="1"/>
    <col min="15107" max="15107" width="20.7109375" style="123" customWidth="1"/>
    <col min="15108" max="15108" width="9.140625" style="123"/>
    <col min="15109" max="15109" width="11.85546875" style="123" customWidth="1"/>
    <col min="15110" max="15110" width="11.7109375" style="123" customWidth="1"/>
    <col min="15111" max="15111" width="12.42578125" style="123" customWidth="1"/>
    <col min="15112" max="15112" width="13.42578125" style="123" customWidth="1"/>
    <col min="15113" max="15361" width="9.140625" style="123"/>
    <col min="15362" max="15362" width="49.140625" style="123" customWidth="1"/>
    <col min="15363" max="15363" width="20.7109375" style="123" customWidth="1"/>
    <col min="15364" max="15364" width="9.140625" style="123"/>
    <col min="15365" max="15365" width="11.85546875" style="123" customWidth="1"/>
    <col min="15366" max="15366" width="11.7109375" style="123" customWidth="1"/>
    <col min="15367" max="15367" width="12.42578125" style="123" customWidth="1"/>
    <col min="15368" max="15368" width="13.42578125" style="123" customWidth="1"/>
    <col min="15369" max="15617" width="9.140625" style="123"/>
    <col min="15618" max="15618" width="49.140625" style="123" customWidth="1"/>
    <col min="15619" max="15619" width="20.7109375" style="123" customWidth="1"/>
    <col min="15620" max="15620" width="9.140625" style="123"/>
    <col min="15621" max="15621" width="11.85546875" style="123" customWidth="1"/>
    <col min="15622" max="15622" width="11.7109375" style="123" customWidth="1"/>
    <col min="15623" max="15623" width="12.42578125" style="123" customWidth="1"/>
    <col min="15624" max="15624" width="13.42578125" style="123" customWidth="1"/>
    <col min="15625" max="15873" width="9.140625" style="123"/>
    <col min="15874" max="15874" width="49.140625" style="123" customWidth="1"/>
    <col min="15875" max="15875" width="20.7109375" style="123" customWidth="1"/>
    <col min="15876" max="15876" width="9.140625" style="123"/>
    <col min="15877" max="15877" width="11.85546875" style="123" customWidth="1"/>
    <col min="15878" max="15878" width="11.7109375" style="123" customWidth="1"/>
    <col min="15879" max="15879" width="12.42578125" style="123" customWidth="1"/>
    <col min="15880" max="15880" width="13.42578125" style="123" customWidth="1"/>
    <col min="15881" max="16129" width="9.140625" style="123"/>
    <col min="16130" max="16130" width="49.140625" style="123" customWidth="1"/>
    <col min="16131" max="16131" width="20.7109375" style="123" customWidth="1"/>
    <col min="16132" max="16132" width="9.140625" style="123"/>
    <col min="16133" max="16133" width="11.85546875" style="123" customWidth="1"/>
    <col min="16134" max="16134" width="11.7109375" style="123" customWidth="1"/>
    <col min="16135" max="16135" width="12.42578125" style="123" customWidth="1"/>
    <col min="16136" max="16136" width="13.42578125" style="123" customWidth="1"/>
    <col min="16137" max="16384" width="9.140625" style="123"/>
  </cols>
  <sheetData>
    <row r="1" spans="2:13" ht="20.100000000000001" customHeight="1">
      <c r="B1" s="1122" t="s">
        <v>500</v>
      </c>
      <c r="C1" s="1129"/>
      <c r="D1" s="1129"/>
      <c r="E1" s="1129"/>
      <c r="F1" s="1129"/>
      <c r="G1" s="1129"/>
      <c r="H1" s="1123"/>
      <c r="I1" s="124"/>
      <c r="J1" s="124"/>
      <c r="K1" s="124"/>
      <c r="L1" s="124"/>
      <c r="M1" s="124"/>
    </row>
    <row r="2" spans="2:13" ht="20.100000000000001" customHeight="1">
      <c r="B2" s="1124" t="s">
        <v>274</v>
      </c>
      <c r="C2" s="1126"/>
      <c r="E2" s="521">
        <v>1</v>
      </c>
      <c r="F2" s="521">
        <v>2</v>
      </c>
      <c r="G2" s="521">
        <v>3</v>
      </c>
      <c r="H2" s="522">
        <v>4</v>
      </c>
    </row>
    <row r="3" spans="2:13" ht="20.100000000000001" customHeight="1">
      <c r="B3" s="510" t="s">
        <v>275</v>
      </c>
      <c r="C3" s="152">
        <f>' Break EvenPoint'!B3</f>
        <v>3094.3312153271104</v>
      </c>
      <c r="E3" s="152">
        <f>C3-C3*0.11</f>
        <v>2753.9547816411282</v>
      </c>
      <c r="F3" s="152">
        <f>C3</f>
        <v>3094.3312153271104</v>
      </c>
      <c r="G3" s="152">
        <f>C3-C3*0.05</f>
        <v>2939.6146545607548</v>
      </c>
      <c r="H3" s="511">
        <f>C3</f>
        <v>3094.3312153271104</v>
      </c>
    </row>
    <row r="4" spans="2:13" ht="20.100000000000001" customHeight="1">
      <c r="B4" s="510" t="s">
        <v>276</v>
      </c>
      <c r="C4" s="153"/>
      <c r="E4" s="154"/>
      <c r="F4" s="154"/>
      <c r="G4" s="154"/>
      <c r="H4" s="514"/>
    </row>
    <row r="5" spans="2:13" ht="20.100000000000001" customHeight="1">
      <c r="B5" s="513" t="s">
        <v>452</v>
      </c>
      <c r="C5" s="154">
        <f>' Break EvenPoint'!B5</f>
        <v>1024.297566827599</v>
      </c>
      <c r="E5" s="154">
        <f>C5</f>
        <v>1024.297566827599</v>
      </c>
      <c r="F5" s="154">
        <f>E5+E5*16.5%</f>
        <v>1193.3066653541528</v>
      </c>
      <c r="G5" s="154">
        <f>C5+C5*0.09</f>
        <v>1116.4843478420828</v>
      </c>
      <c r="H5" s="514">
        <f>C5</f>
        <v>1024.297566827599</v>
      </c>
    </row>
    <row r="6" spans="2:13" ht="20.100000000000001" customHeight="1">
      <c r="B6" s="513" t="s">
        <v>17</v>
      </c>
      <c r="C6" s="154">
        <f>' Break EvenPoint'!B6</f>
        <v>179.39131484999996</v>
      </c>
      <c r="E6" s="154">
        <f>C6</f>
        <v>179.39131484999996</v>
      </c>
      <c r="F6" s="154">
        <f t="shared" ref="F6:H8" si="0">E6</f>
        <v>179.39131484999996</v>
      </c>
      <c r="G6" s="154">
        <f t="shared" si="0"/>
        <v>179.39131484999996</v>
      </c>
      <c r="H6" s="514">
        <f t="shared" si="0"/>
        <v>179.39131484999996</v>
      </c>
    </row>
    <row r="7" spans="2:13" ht="20.100000000000001" customHeight="1">
      <c r="B7" s="513" t="s">
        <v>15</v>
      </c>
      <c r="C7" s="154">
        <f>' Break EvenPoint'!B7</f>
        <v>30.708780423749996</v>
      </c>
      <c r="E7" s="154">
        <f>C7</f>
        <v>30.708780423749996</v>
      </c>
      <c r="F7" s="154">
        <f t="shared" si="0"/>
        <v>30.708780423749996</v>
      </c>
      <c r="G7" s="154">
        <f t="shared" si="0"/>
        <v>30.708780423749996</v>
      </c>
      <c r="H7" s="514">
        <f t="shared" si="0"/>
        <v>30.708780423749996</v>
      </c>
    </row>
    <row r="8" spans="2:13" ht="20.100000000000001" customHeight="1">
      <c r="B8" s="513" t="s">
        <v>21</v>
      </c>
      <c r="C8" s="154">
        <f>' Break EvenPoint'!B8</f>
        <v>88.771189675495322</v>
      </c>
      <c r="E8" s="154">
        <f>C8</f>
        <v>88.771189675495322</v>
      </c>
      <c r="F8" s="154">
        <f t="shared" si="0"/>
        <v>88.771189675495322</v>
      </c>
      <c r="G8" s="154">
        <f t="shared" si="0"/>
        <v>88.771189675495322</v>
      </c>
      <c r="H8" s="514">
        <f t="shared" si="0"/>
        <v>88.771189675495322</v>
      </c>
    </row>
    <row r="9" spans="2:13" ht="20.100000000000001" customHeight="1">
      <c r="B9" s="515" t="s">
        <v>277</v>
      </c>
      <c r="C9" s="152">
        <f>SUM(C5:C8)</f>
        <v>1323.1688517768443</v>
      </c>
      <c r="D9" s="130"/>
      <c r="E9" s="152">
        <f>SUM(E5:E8)</f>
        <v>1323.1688517768443</v>
      </c>
      <c r="F9" s="152">
        <f>SUM(F5:F8)</f>
        <v>1492.1779503033981</v>
      </c>
      <c r="G9" s="152">
        <f>SUM(G5:G8)</f>
        <v>1415.3556327913279</v>
      </c>
      <c r="H9" s="511">
        <f>SUM(H5:H8)+SUM(H5:H8)*14.5%</f>
        <v>1515.0283352844867</v>
      </c>
    </row>
    <row r="10" spans="2:13" ht="20.100000000000001" customHeight="1">
      <c r="B10" s="510" t="s">
        <v>278</v>
      </c>
      <c r="C10" s="152">
        <f>+C3-C9</f>
        <v>1771.162363550266</v>
      </c>
      <c r="E10" s="152">
        <f>+E3-E9</f>
        <v>1430.7859298642838</v>
      </c>
      <c r="F10" s="152">
        <f>+F3-F9</f>
        <v>1602.1532650237123</v>
      </c>
      <c r="G10" s="152">
        <f>+G3-G9</f>
        <v>1524.2590217694269</v>
      </c>
      <c r="H10" s="511">
        <f>+H3-H9</f>
        <v>1579.3028800426237</v>
      </c>
      <c r="I10" s="125"/>
    </row>
    <row r="11" spans="2:13" ht="20.100000000000001" customHeight="1">
      <c r="B11" s="510" t="s">
        <v>279</v>
      </c>
      <c r="C11" s="153"/>
      <c r="E11" s="125"/>
      <c r="F11" s="125"/>
      <c r="G11" s="127"/>
      <c r="H11" s="518"/>
      <c r="I11" s="125"/>
    </row>
    <row r="12" spans="2:13" ht="20.100000000000001" customHeight="1">
      <c r="B12" s="513" t="s">
        <v>20</v>
      </c>
      <c r="C12" s="154">
        <f>' Break EvenPoint'!B12</f>
        <v>78.842457207074617</v>
      </c>
      <c r="E12" s="154">
        <f>C12</f>
        <v>78.842457207074617</v>
      </c>
      <c r="F12" s="154">
        <f t="shared" ref="F12:H13" si="1">E12</f>
        <v>78.842457207074617</v>
      </c>
      <c r="G12" s="154">
        <f t="shared" si="1"/>
        <v>78.842457207074617</v>
      </c>
      <c r="H12" s="514">
        <f t="shared" si="1"/>
        <v>78.842457207074617</v>
      </c>
      <c r="I12" s="125"/>
    </row>
    <row r="13" spans="2:13" ht="20.100000000000001" customHeight="1">
      <c r="B13" s="513" t="s">
        <v>31</v>
      </c>
      <c r="C13" s="154">
        <f>' Break EvenPoint'!B14</f>
        <v>415.94497678079995</v>
      </c>
      <c r="E13" s="154">
        <f>C13</f>
        <v>415.94497678079995</v>
      </c>
      <c r="F13" s="154">
        <f t="shared" si="1"/>
        <v>415.94497678079995</v>
      </c>
      <c r="G13" s="154">
        <f t="shared" si="1"/>
        <v>415.94497678079995</v>
      </c>
      <c r="H13" s="514">
        <f t="shared" si="1"/>
        <v>415.94497678079995</v>
      </c>
      <c r="I13" s="132"/>
    </row>
    <row r="14" spans="2:13" ht="20.100000000000001" customHeight="1">
      <c r="B14" s="513" t="s">
        <v>476</v>
      </c>
      <c r="C14" s="154">
        <f>' Break EvenPoint'!B13</f>
        <v>311.95873258559999</v>
      </c>
      <c r="E14" s="154">
        <f>C14</f>
        <v>311.95873258559999</v>
      </c>
      <c r="F14" s="154">
        <f>E14</f>
        <v>311.95873258559999</v>
      </c>
      <c r="G14" s="154">
        <f t="shared" ref="G14:H14" si="2">E14</f>
        <v>311.95873258559999</v>
      </c>
      <c r="H14" s="514">
        <f t="shared" si="2"/>
        <v>311.95873258559999</v>
      </c>
      <c r="I14" s="132"/>
    </row>
    <row r="15" spans="2:13" ht="20.100000000000001" customHeight="1">
      <c r="B15" s="513" t="s">
        <v>145</v>
      </c>
      <c r="C15" s="152">
        <f>SUM(C12:C14)</f>
        <v>806.74616657347451</v>
      </c>
      <c r="E15" s="152">
        <f>SUM(E12:E14)</f>
        <v>806.74616657347451</v>
      </c>
      <c r="F15" s="152">
        <f t="shared" ref="F15:H15" si="3">SUM(F12:F14)</f>
        <v>806.74616657347451</v>
      </c>
      <c r="G15" s="152">
        <f t="shared" si="3"/>
        <v>806.74616657347451</v>
      </c>
      <c r="H15" s="511">
        <f t="shared" si="3"/>
        <v>806.74616657347451</v>
      </c>
      <c r="I15" s="132"/>
    </row>
    <row r="16" spans="2:13" ht="20.100000000000001" customHeight="1">
      <c r="B16" s="516" t="s">
        <v>280</v>
      </c>
      <c r="C16" s="519">
        <f>C15/C10</f>
        <v>0.45548967343477476</v>
      </c>
      <c r="D16" s="520"/>
      <c r="E16" s="519">
        <f>E15/E10</f>
        <v>0.56384826670052435</v>
      </c>
      <c r="F16" s="519">
        <f>F15/F10</f>
        <v>0.50353869644395999</v>
      </c>
      <c r="G16" s="519">
        <f>G15/G10</f>
        <v>0.52927104583377704</v>
      </c>
      <c r="H16" s="517">
        <f>H15/H10</f>
        <v>0.51082422299622565</v>
      </c>
      <c r="I16" s="132"/>
      <c r="J16" s="124"/>
    </row>
    <row r="17" spans="1:9" ht="20.100000000000001" customHeight="1">
      <c r="B17" s="127"/>
      <c r="C17" s="127"/>
      <c r="H17" s="132"/>
      <c r="I17" s="132"/>
    </row>
    <row r="18" spans="1:9" ht="20.100000000000001" customHeight="1">
      <c r="A18" s="526" t="s">
        <v>117</v>
      </c>
      <c r="B18" s="1127" t="s">
        <v>368</v>
      </c>
      <c r="C18" s="1127"/>
    </row>
    <row r="19" spans="1:9">
      <c r="A19" s="523"/>
      <c r="B19" s="343" t="s">
        <v>362</v>
      </c>
      <c r="C19" s="344" t="s">
        <v>363</v>
      </c>
    </row>
    <row r="20" spans="1:9">
      <c r="A20" s="524"/>
      <c r="B20" s="345" t="s">
        <v>444</v>
      </c>
      <c r="C20" s="346">
        <f>C16</f>
        <v>0.45548967343477476</v>
      </c>
    </row>
    <row r="21" spans="1:9">
      <c r="A21" s="524"/>
      <c r="B21" s="345"/>
      <c r="C21" s="347"/>
    </row>
    <row r="22" spans="1:9">
      <c r="A22" s="524">
        <v>1</v>
      </c>
      <c r="B22" s="345" t="s">
        <v>364</v>
      </c>
      <c r="C22" s="348">
        <f>E16</f>
        <v>0.56384826670052435</v>
      </c>
    </row>
    <row r="23" spans="1:9">
      <c r="A23" s="524">
        <v>2</v>
      </c>
      <c r="B23" s="345" t="s">
        <v>365</v>
      </c>
      <c r="C23" s="348">
        <f>F16</f>
        <v>0.50353869644395999</v>
      </c>
    </row>
    <row r="24" spans="1:9">
      <c r="A24" s="524">
        <v>3</v>
      </c>
      <c r="B24" s="345" t="s">
        <v>366</v>
      </c>
      <c r="C24" s="348">
        <f>G16</f>
        <v>0.52927104583377704</v>
      </c>
    </row>
    <row r="25" spans="1:9">
      <c r="A25" s="525">
        <v>4</v>
      </c>
      <c r="B25" s="349" t="s">
        <v>367</v>
      </c>
      <c r="C25" s="350">
        <f>H16</f>
        <v>0.51082422299622565</v>
      </c>
    </row>
    <row r="27" spans="1:9" ht="40.5" customHeight="1">
      <c r="B27" s="1128" t="s">
        <v>419</v>
      </c>
      <c r="C27" s="1128"/>
    </row>
  </sheetData>
  <mergeCells count="4">
    <mergeCell ref="B2:C2"/>
    <mergeCell ref="B18:C18"/>
    <mergeCell ref="B27:C27"/>
    <mergeCell ref="B1:H1"/>
  </mergeCells>
  <printOptions horizontalCentered="1" gridLines="1"/>
  <pageMargins left="1"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DA046-4BE7-404A-98E4-BC766D1E24FF}">
  <sheetPr codeName="Sheet19"/>
  <dimension ref="A1:M27"/>
  <sheetViews>
    <sheetView showGridLines="0" topLeftCell="A14" zoomScaleNormal="100" zoomScaleSheetLayoutView="98" workbookViewId="0">
      <selection activeCell="C20" sqref="C20"/>
    </sheetView>
  </sheetViews>
  <sheetFormatPr defaultRowHeight="12.75"/>
  <cols>
    <col min="1" max="1" width="4.85546875" style="123" customWidth="1"/>
    <col min="2" max="2" width="63.7109375" style="123" bestFit="1" customWidth="1"/>
    <col min="3" max="3" width="20.7109375" style="123" customWidth="1"/>
    <col min="4" max="4" width="9.140625" style="123"/>
    <col min="5" max="5" width="11.85546875" style="123" customWidth="1"/>
    <col min="6" max="6" width="11.7109375" style="123" customWidth="1"/>
    <col min="7" max="7" width="12.42578125" style="123" customWidth="1"/>
    <col min="8" max="8" width="13.42578125" style="123" customWidth="1"/>
    <col min="9" max="257" width="9.140625" style="123"/>
    <col min="258" max="258" width="49.140625" style="123" customWidth="1"/>
    <col min="259" max="259" width="20.7109375" style="123" customWidth="1"/>
    <col min="260" max="260" width="9.140625" style="123"/>
    <col min="261" max="261" width="11.85546875" style="123" customWidth="1"/>
    <col min="262" max="262" width="11.7109375" style="123" customWidth="1"/>
    <col min="263" max="263" width="12.42578125" style="123" customWidth="1"/>
    <col min="264" max="264" width="13.42578125" style="123" customWidth="1"/>
    <col min="265" max="513" width="9.140625" style="123"/>
    <col min="514" max="514" width="49.140625" style="123" customWidth="1"/>
    <col min="515" max="515" width="20.7109375" style="123" customWidth="1"/>
    <col min="516" max="516" width="9.140625" style="123"/>
    <col min="517" max="517" width="11.85546875" style="123" customWidth="1"/>
    <col min="518" max="518" width="11.7109375" style="123" customWidth="1"/>
    <col min="519" max="519" width="12.42578125" style="123" customWidth="1"/>
    <col min="520" max="520" width="13.42578125" style="123" customWidth="1"/>
    <col min="521" max="769" width="9.140625" style="123"/>
    <col min="770" max="770" width="49.140625" style="123" customWidth="1"/>
    <col min="771" max="771" width="20.7109375" style="123" customWidth="1"/>
    <col min="772" max="772" width="9.140625" style="123"/>
    <col min="773" max="773" width="11.85546875" style="123" customWidth="1"/>
    <col min="774" max="774" width="11.7109375" style="123" customWidth="1"/>
    <col min="775" max="775" width="12.42578125" style="123" customWidth="1"/>
    <col min="776" max="776" width="13.42578125" style="123" customWidth="1"/>
    <col min="777" max="1025" width="9.140625" style="123"/>
    <col min="1026" max="1026" width="49.140625" style="123" customWidth="1"/>
    <col min="1027" max="1027" width="20.7109375" style="123" customWidth="1"/>
    <col min="1028" max="1028" width="9.140625" style="123"/>
    <col min="1029" max="1029" width="11.85546875" style="123" customWidth="1"/>
    <col min="1030" max="1030" width="11.7109375" style="123" customWidth="1"/>
    <col min="1031" max="1031" width="12.42578125" style="123" customWidth="1"/>
    <col min="1032" max="1032" width="13.42578125" style="123" customWidth="1"/>
    <col min="1033" max="1281" width="9.140625" style="123"/>
    <col min="1282" max="1282" width="49.140625" style="123" customWidth="1"/>
    <col min="1283" max="1283" width="20.7109375" style="123" customWidth="1"/>
    <col min="1284" max="1284" width="9.140625" style="123"/>
    <col min="1285" max="1285" width="11.85546875" style="123" customWidth="1"/>
    <col min="1286" max="1286" width="11.7109375" style="123" customWidth="1"/>
    <col min="1287" max="1287" width="12.42578125" style="123" customWidth="1"/>
    <col min="1288" max="1288" width="13.42578125" style="123" customWidth="1"/>
    <col min="1289" max="1537" width="9.140625" style="123"/>
    <col min="1538" max="1538" width="49.140625" style="123" customWidth="1"/>
    <col min="1539" max="1539" width="20.7109375" style="123" customWidth="1"/>
    <col min="1540" max="1540" width="9.140625" style="123"/>
    <col min="1541" max="1541" width="11.85546875" style="123" customWidth="1"/>
    <col min="1542" max="1542" width="11.7109375" style="123" customWidth="1"/>
    <col min="1543" max="1543" width="12.42578125" style="123" customWidth="1"/>
    <col min="1544" max="1544" width="13.42578125" style="123" customWidth="1"/>
    <col min="1545" max="1793" width="9.140625" style="123"/>
    <col min="1794" max="1794" width="49.140625" style="123" customWidth="1"/>
    <col min="1795" max="1795" width="20.7109375" style="123" customWidth="1"/>
    <col min="1796" max="1796" width="9.140625" style="123"/>
    <col min="1797" max="1797" width="11.85546875" style="123" customWidth="1"/>
    <col min="1798" max="1798" width="11.7109375" style="123" customWidth="1"/>
    <col min="1799" max="1799" width="12.42578125" style="123" customWidth="1"/>
    <col min="1800" max="1800" width="13.42578125" style="123" customWidth="1"/>
    <col min="1801" max="2049" width="9.140625" style="123"/>
    <col min="2050" max="2050" width="49.140625" style="123" customWidth="1"/>
    <col min="2051" max="2051" width="20.7109375" style="123" customWidth="1"/>
    <col min="2052" max="2052" width="9.140625" style="123"/>
    <col min="2053" max="2053" width="11.85546875" style="123" customWidth="1"/>
    <col min="2054" max="2054" width="11.7109375" style="123" customWidth="1"/>
    <col min="2055" max="2055" width="12.42578125" style="123" customWidth="1"/>
    <col min="2056" max="2056" width="13.42578125" style="123" customWidth="1"/>
    <col min="2057" max="2305" width="9.140625" style="123"/>
    <col min="2306" max="2306" width="49.140625" style="123" customWidth="1"/>
    <col min="2307" max="2307" width="20.7109375" style="123" customWidth="1"/>
    <col min="2308" max="2308" width="9.140625" style="123"/>
    <col min="2309" max="2309" width="11.85546875" style="123" customWidth="1"/>
    <col min="2310" max="2310" width="11.7109375" style="123" customWidth="1"/>
    <col min="2311" max="2311" width="12.42578125" style="123" customWidth="1"/>
    <col min="2312" max="2312" width="13.42578125" style="123" customWidth="1"/>
    <col min="2313" max="2561" width="9.140625" style="123"/>
    <col min="2562" max="2562" width="49.140625" style="123" customWidth="1"/>
    <col min="2563" max="2563" width="20.7109375" style="123" customWidth="1"/>
    <col min="2564" max="2564" width="9.140625" style="123"/>
    <col min="2565" max="2565" width="11.85546875" style="123" customWidth="1"/>
    <col min="2566" max="2566" width="11.7109375" style="123" customWidth="1"/>
    <col min="2567" max="2567" width="12.42578125" style="123" customWidth="1"/>
    <col min="2568" max="2568" width="13.42578125" style="123" customWidth="1"/>
    <col min="2569" max="2817" width="9.140625" style="123"/>
    <col min="2818" max="2818" width="49.140625" style="123" customWidth="1"/>
    <col min="2819" max="2819" width="20.7109375" style="123" customWidth="1"/>
    <col min="2820" max="2820" width="9.140625" style="123"/>
    <col min="2821" max="2821" width="11.85546875" style="123" customWidth="1"/>
    <col min="2822" max="2822" width="11.7109375" style="123" customWidth="1"/>
    <col min="2823" max="2823" width="12.42578125" style="123" customWidth="1"/>
    <col min="2824" max="2824" width="13.42578125" style="123" customWidth="1"/>
    <col min="2825" max="3073" width="9.140625" style="123"/>
    <col min="3074" max="3074" width="49.140625" style="123" customWidth="1"/>
    <col min="3075" max="3075" width="20.7109375" style="123" customWidth="1"/>
    <col min="3076" max="3076" width="9.140625" style="123"/>
    <col min="3077" max="3077" width="11.85546875" style="123" customWidth="1"/>
    <col min="3078" max="3078" width="11.7109375" style="123" customWidth="1"/>
    <col min="3079" max="3079" width="12.42578125" style="123" customWidth="1"/>
    <col min="3080" max="3080" width="13.42578125" style="123" customWidth="1"/>
    <col min="3081" max="3329" width="9.140625" style="123"/>
    <col min="3330" max="3330" width="49.140625" style="123" customWidth="1"/>
    <col min="3331" max="3331" width="20.7109375" style="123" customWidth="1"/>
    <col min="3332" max="3332" width="9.140625" style="123"/>
    <col min="3333" max="3333" width="11.85546875" style="123" customWidth="1"/>
    <col min="3334" max="3334" width="11.7109375" style="123" customWidth="1"/>
    <col min="3335" max="3335" width="12.42578125" style="123" customWidth="1"/>
    <col min="3336" max="3336" width="13.42578125" style="123" customWidth="1"/>
    <col min="3337" max="3585" width="9.140625" style="123"/>
    <col min="3586" max="3586" width="49.140625" style="123" customWidth="1"/>
    <col min="3587" max="3587" width="20.7109375" style="123" customWidth="1"/>
    <col min="3588" max="3588" width="9.140625" style="123"/>
    <col min="3589" max="3589" width="11.85546875" style="123" customWidth="1"/>
    <col min="3590" max="3590" width="11.7109375" style="123" customWidth="1"/>
    <col min="3591" max="3591" width="12.42578125" style="123" customWidth="1"/>
    <col min="3592" max="3592" width="13.42578125" style="123" customWidth="1"/>
    <col min="3593" max="3841" width="9.140625" style="123"/>
    <col min="3842" max="3842" width="49.140625" style="123" customWidth="1"/>
    <col min="3843" max="3843" width="20.7109375" style="123" customWidth="1"/>
    <col min="3844" max="3844" width="9.140625" style="123"/>
    <col min="3845" max="3845" width="11.85546875" style="123" customWidth="1"/>
    <col min="3846" max="3846" width="11.7109375" style="123" customWidth="1"/>
    <col min="3847" max="3847" width="12.42578125" style="123" customWidth="1"/>
    <col min="3848" max="3848" width="13.42578125" style="123" customWidth="1"/>
    <col min="3849" max="4097" width="9.140625" style="123"/>
    <col min="4098" max="4098" width="49.140625" style="123" customWidth="1"/>
    <col min="4099" max="4099" width="20.7109375" style="123" customWidth="1"/>
    <col min="4100" max="4100" width="9.140625" style="123"/>
    <col min="4101" max="4101" width="11.85546875" style="123" customWidth="1"/>
    <col min="4102" max="4102" width="11.7109375" style="123" customWidth="1"/>
    <col min="4103" max="4103" width="12.42578125" style="123" customWidth="1"/>
    <col min="4104" max="4104" width="13.42578125" style="123" customWidth="1"/>
    <col min="4105" max="4353" width="9.140625" style="123"/>
    <col min="4354" max="4354" width="49.140625" style="123" customWidth="1"/>
    <col min="4355" max="4355" width="20.7109375" style="123" customWidth="1"/>
    <col min="4356" max="4356" width="9.140625" style="123"/>
    <col min="4357" max="4357" width="11.85546875" style="123" customWidth="1"/>
    <col min="4358" max="4358" width="11.7109375" style="123" customWidth="1"/>
    <col min="4359" max="4359" width="12.42578125" style="123" customWidth="1"/>
    <col min="4360" max="4360" width="13.42578125" style="123" customWidth="1"/>
    <col min="4361" max="4609" width="9.140625" style="123"/>
    <col min="4610" max="4610" width="49.140625" style="123" customWidth="1"/>
    <col min="4611" max="4611" width="20.7109375" style="123" customWidth="1"/>
    <col min="4612" max="4612" width="9.140625" style="123"/>
    <col min="4613" max="4613" width="11.85546875" style="123" customWidth="1"/>
    <col min="4614" max="4614" width="11.7109375" style="123" customWidth="1"/>
    <col min="4615" max="4615" width="12.42578125" style="123" customWidth="1"/>
    <col min="4616" max="4616" width="13.42578125" style="123" customWidth="1"/>
    <col min="4617" max="4865" width="9.140625" style="123"/>
    <col min="4866" max="4866" width="49.140625" style="123" customWidth="1"/>
    <col min="4867" max="4867" width="20.7109375" style="123" customWidth="1"/>
    <col min="4868" max="4868" width="9.140625" style="123"/>
    <col min="4869" max="4869" width="11.85546875" style="123" customWidth="1"/>
    <col min="4870" max="4870" width="11.7109375" style="123" customWidth="1"/>
    <col min="4871" max="4871" width="12.42578125" style="123" customWidth="1"/>
    <col min="4872" max="4872" width="13.42578125" style="123" customWidth="1"/>
    <col min="4873" max="5121" width="9.140625" style="123"/>
    <col min="5122" max="5122" width="49.140625" style="123" customWidth="1"/>
    <col min="5123" max="5123" width="20.7109375" style="123" customWidth="1"/>
    <col min="5124" max="5124" width="9.140625" style="123"/>
    <col min="5125" max="5125" width="11.85546875" style="123" customWidth="1"/>
    <col min="5126" max="5126" width="11.7109375" style="123" customWidth="1"/>
    <col min="5127" max="5127" width="12.42578125" style="123" customWidth="1"/>
    <col min="5128" max="5128" width="13.42578125" style="123" customWidth="1"/>
    <col min="5129" max="5377" width="9.140625" style="123"/>
    <col min="5378" max="5378" width="49.140625" style="123" customWidth="1"/>
    <col min="5379" max="5379" width="20.7109375" style="123" customWidth="1"/>
    <col min="5380" max="5380" width="9.140625" style="123"/>
    <col min="5381" max="5381" width="11.85546875" style="123" customWidth="1"/>
    <col min="5382" max="5382" width="11.7109375" style="123" customWidth="1"/>
    <col min="5383" max="5383" width="12.42578125" style="123" customWidth="1"/>
    <col min="5384" max="5384" width="13.42578125" style="123" customWidth="1"/>
    <col min="5385" max="5633" width="9.140625" style="123"/>
    <col min="5634" max="5634" width="49.140625" style="123" customWidth="1"/>
    <col min="5635" max="5635" width="20.7109375" style="123" customWidth="1"/>
    <col min="5636" max="5636" width="9.140625" style="123"/>
    <col min="5637" max="5637" width="11.85546875" style="123" customWidth="1"/>
    <col min="5638" max="5638" width="11.7109375" style="123" customWidth="1"/>
    <col min="5639" max="5639" width="12.42578125" style="123" customWidth="1"/>
    <col min="5640" max="5640" width="13.42578125" style="123" customWidth="1"/>
    <col min="5641" max="5889" width="9.140625" style="123"/>
    <col min="5890" max="5890" width="49.140625" style="123" customWidth="1"/>
    <col min="5891" max="5891" width="20.7109375" style="123" customWidth="1"/>
    <col min="5892" max="5892" width="9.140625" style="123"/>
    <col min="5893" max="5893" width="11.85546875" style="123" customWidth="1"/>
    <col min="5894" max="5894" width="11.7109375" style="123" customWidth="1"/>
    <col min="5895" max="5895" width="12.42578125" style="123" customWidth="1"/>
    <col min="5896" max="5896" width="13.42578125" style="123" customWidth="1"/>
    <col min="5897" max="6145" width="9.140625" style="123"/>
    <col min="6146" max="6146" width="49.140625" style="123" customWidth="1"/>
    <col min="6147" max="6147" width="20.7109375" style="123" customWidth="1"/>
    <col min="6148" max="6148" width="9.140625" style="123"/>
    <col min="6149" max="6149" width="11.85546875" style="123" customWidth="1"/>
    <col min="6150" max="6150" width="11.7109375" style="123" customWidth="1"/>
    <col min="6151" max="6151" width="12.42578125" style="123" customWidth="1"/>
    <col min="6152" max="6152" width="13.42578125" style="123" customWidth="1"/>
    <col min="6153" max="6401" width="9.140625" style="123"/>
    <col min="6402" max="6402" width="49.140625" style="123" customWidth="1"/>
    <col min="6403" max="6403" width="20.7109375" style="123" customWidth="1"/>
    <col min="6404" max="6404" width="9.140625" style="123"/>
    <col min="6405" max="6405" width="11.85546875" style="123" customWidth="1"/>
    <col min="6406" max="6406" width="11.7109375" style="123" customWidth="1"/>
    <col min="6407" max="6407" width="12.42578125" style="123" customWidth="1"/>
    <col min="6408" max="6408" width="13.42578125" style="123" customWidth="1"/>
    <col min="6409" max="6657" width="9.140625" style="123"/>
    <col min="6658" max="6658" width="49.140625" style="123" customWidth="1"/>
    <col min="6659" max="6659" width="20.7109375" style="123" customWidth="1"/>
    <col min="6660" max="6660" width="9.140625" style="123"/>
    <col min="6661" max="6661" width="11.85546875" style="123" customWidth="1"/>
    <col min="6662" max="6662" width="11.7109375" style="123" customWidth="1"/>
    <col min="6663" max="6663" width="12.42578125" style="123" customWidth="1"/>
    <col min="6664" max="6664" width="13.42578125" style="123" customWidth="1"/>
    <col min="6665" max="6913" width="9.140625" style="123"/>
    <col min="6914" max="6914" width="49.140625" style="123" customWidth="1"/>
    <col min="6915" max="6915" width="20.7109375" style="123" customWidth="1"/>
    <col min="6916" max="6916" width="9.140625" style="123"/>
    <col min="6917" max="6917" width="11.85546875" style="123" customWidth="1"/>
    <col min="6918" max="6918" width="11.7109375" style="123" customWidth="1"/>
    <col min="6919" max="6919" width="12.42578125" style="123" customWidth="1"/>
    <col min="6920" max="6920" width="13.42578125" style="123" customWidth="1"/>
    <col min="6921" max="7169" width="9.140625" style="123"/>
    <col min="7170" max="7170" width="49.140625" style="123" customWidth="1"/>
    <col min="7171" max="7171" width="20.7109375" style="123" customWidth="1"/>
    <col min="7172" max="7172" width="9.140625" style="123"/>
    <col min="7173" max="7173" width="11.85546875" style="123" customWidth="1"/>
    <col min="7174" max="7174" width="11.7109375" style="123" customWidth="1"/>
    <col min="7175" max="7175" width="12.42578125" style="123" customWidth="1"/>
    <col min="7176" max="7176" width="13.42578125" style="123" customWidth="1"/>
    <col min="7177" max="7425" width="9.140625" style="123"/>
    <col min="7426" max="7426" width="49.140625" style="123" customWidth="1"/>
    <col min="7427" max="7427" width="20.7109375" style="123" customWidth="1"/>
    <col min="7428" max="7428" width="9.140625" style="123"/>
    <col min="7429" max="7429" width="11.85546875" style="123" customWidth="1"/>
    <col min="7430" max="7430" width="11.7109375" style="123" customWidth="1"/>
    <col min="7431" max="7431" width="12.42578125" style="123" customWidth="1"/>
    <col min="7432" max="7432" width="13.42578125" style="123" customWidth="1"/>
    <col min="7433" max="7681" width="9.140625" style="123"/>
    <col min="7682" max="7682" width="49.140625" style="123" customWidth="1"/>
    <col min="7683" max="7683" width="20.7109375" style="123" customWidth="1"/>
    <col min="7684" max="7684" width="9.140625" style="123"/>
    <col min="7685" max="7685" width="11.85546875" style="123" customWidth="1"/>
    <col min="7686" max="7686" width="11.7109375" style="123" customWidth="1"/>
    <col min="7687" max="7687" width="12.42578125" style="123" customWidth="1"/>
    <col min="7688" max="7688" width="13.42578125" style="123" customWidth="1"/>
    <col min="7689" max="7937" width="9.140625" style="123"/>
    <col min="7938" max="7938" width="49.140625" style="123" customWidth="1"/>
    <col min="7939" max="7939" width="20.7109375" style="123" customWidth="1"/>
    <col min="7940" max="7940" width="9.140625" style="123"/>
    <col min="7941" max="7941" width="11.85546875" style="123" customWidth="1"/>
    <col min="7942" max="7942" width="11.7109375" style="123" customWidth="1"/>
    <col min="7943" max="7943" width="12.42578125" style="123" customWidth="1"/>
    <col min="7944" max="7944" width="13.42578125" style="123" customWidth="1"/>
    <col min="7945" max="8193" width="9.140625" style="123"/>
    <col min="8194" max="8194" width="49.140625" style="123" customWidth="1"/>
    <col min="8195" max="8195" width="20.7109375" style="123" customWidth="1"/>
    <col min="8196" max="8196" width="9.140625" style="123"/>
    <col min="8197" max="8197" width="11.85546875" style="123" customWidth="1"/>
    <col min="8198" max="8198" width="11.7109375" style="123" customWidth="1"/>
    <col min="8199" max="8199" width="12.42578125" style="123" customWidth="1"/>
    <col min="8200" max="8200" width="13.42578125" style="123" customWidth="1"/>
    <col min="8201" max="8449" width="9.140625" style="123"/>
    <col min="8450" max="8450" width="49.140625" style="123" customWidth="1"/>
    <col min="8451" max="8451" width="20.7109375" style="123" customWidth="1"/>
    <col min="8452" max="8452" width="9.140625" style="123"/>
    <col min="8453" max="8453" width="11.85546875" style="123" customWidth="1"/>
    <col min="8454" max="8454" width="11.7109375" style="123" customWidth="1"/>
    <col min="8455" max="8455" width="12.42578125" style="123" customWidth="1"/>
    <col min="8456" max="8456" width="13.42578125" style="123" customWidth="1"/>
    <col min="8457" max="8705" width="9.140625" style="123"/>
    <col min="8706" max="8706" width="49.140625" style="123" customWidth="1"/>
    <col min="8707" max="8707" width="20.7109375" style="123" customWidth="1"/>
    <col min="8708" max="8708" width="9.140625" style="123"/>
    <col min="8709" max="8709" width="11.85546875" style="123" customWidth="1"/>
    <col min="8710" max="8710" width="11.7109375" style="123" customWidth="1"/>
    <col min="8711" max="8711" width="12.42578125" style="123" customWidth="1"/>
    <col min="8712" max="8712" width="13.42578125" style="123" customWidth="1"/>
    <col min="8713" max="8961" width="9.140625" style="123"/>
    <col min="8962" max="8962" width="49.140625" style="123" customWidth="1"/>
    <col min="8963" max="8963" width="20.7109375" style="123" customWidth="1"/>
    <col min="8964" max="8964" width="9.140625" style="123"/>
    <col min="8965" max="8965" width="11.85546875" style="123" customWidth="1"/>
    <col min="8966" max="8966" width="11.7109375" style="123" customWidth="1"/>
    <col min="8967" max="8967" width="12.42578125" style="123" customWidth="1"/>
    <col min="8968" max="8968" width="13.42578125" style="123" customWidth="1"/>
    <col min="8969" max="9217" width="9.140625" style="123"/>
    <col min="9218" max="9218" width="49.140625" style="123" customWidth="1"/>
    <col min="9219" max="9219" width="20.7109375" style="123" customWidth="1"/>
    <col min="9220" max="9220" width="9.140625" style="123"/>
    <col min="9221" max="9221" width="11.85546875" style="123" customWidth="1"/>
    <col min="9222" max="9222" width="11.7109375" style="123" customWidth="1"/>
    <col min="9223" max="9223" width="12.42578125" style="123" customWidth="1"/>
    <col min="9224" max="9224" width="13.42578125" style="123" customWidth="1"/>
    <col min="9225" max="9473" width="9.140625" style="123"/>
    <col min="9474" max="9474" width="49.140625" style="123" customWidth="1"/>
    <col min="9475" max="9475" width="20.7109375" style="123" customWidth="1"/>
    <col min="9476" max="9476" width="9.140625" style="123"/>
    <col min="9477" max="9477" width="11.85546875" style="123" customWidth="1"/>
    <col min="9478" max="9478" width="11.7109375" style="123" customWidth="1"/>
    <col min="9479" max="9479" width="12.42578125" style="123" customWidth="1"/>
    <col min="9480" max="9480" width="13.42578125" style="123" customWidth="1"/>
    <col min="9481" max="9729" width="9.140625" style="123"/>
    <col min="9730" max="9730" width="49.140625" style="123" customWidth="1"/>
    <col min="9731" max="9731" width="20.7109375" style="123" customWidth="1"/>
    <col min="9732" max="9732" width="9.140625" style="123"/>
    <col min="9733" max="9733" width="11.85546875" style="123" customWidth="1"/>
    <col min="9734" max="9734" width="11.7109375" style="123" customWidth="1"/>
    <col min="9735" max="9735" width="12.42578125" style="123" customWidth="1"/>
    <col min="9736" max="9736" width="13.42578125" style="123" customWidth="1"/>
    <col min="9737" max="9985" width="9.140625" style="123"/>
    <col min="9986" max="9986" width="49.140625" style="123" customWidth="1"/>
    <col min="9987" max="9987" width="20.7109375" style="123" customWidth="1"/>
    <col min="9988" max="9988" width="9.140625" style="123"/>
    <col min="9989" max="9989" width="11.85546875" style="123" customWidth="1"/>
    <col min="9990" max="9990" width="11.7109375" style="123" customWidth="1"/>
    <col min="9991" max="9991" width="12.42578125" style="123" customWidth="1"/>
    <col min="9992" max="9992" width="13.42578125" style="123" customWidth="1"/>
    <col min="9993" max="10241" width="9.140625" style="123"/>
    <col min="10242" max="10242" width="49.140625" style="123" customWidth="1"/>
    <col min="10243" max="10243" width="20.7109375" style="123" customWidth="1"/>
    <col min="10244" max="10244" width="9.140625" style="123"/>
    <col min="10245" max="10245" width="11.85546875" style="123" customWidth="1"/>
    <col min="10246" max="10246" width="11.7109375" style="123" customWidth="1"/>
    <col min="10247" max="10247" width="12.42578125" style="123" customWidth="1"/>
    <col min="10248" max="10248" width="13.42578125" style="123" customWidth="1"/>
    <col min="10249" max="10497" width="9.140625" style="123"/>
    <col min="10498" max="10498" width="49.140625" style="123" customWidth="1"/>
    <col min="10499" max="10499" width="20.7109375" style="123" customWidth="1"/>
    <col min="10500" max="10500" width="9.140625" style="123"/>
    <col min="10501" max="10501" width="11.85546875" style="123" customWidth="1"/>
    <col min="10502" max="10502" width="11.7109375" style="123" customWidth="1"/>
    <col min="10503" max="10503" width="12.42578125" style="123" customWidth="1"/>
    <col min="10504" max="10504" width="13.42578125" style="123" customWidth="1"/>
    <col min="10505" max="10753" width="9.140625" style="123"/>
    <col min="10754" max="10754" width="49.140625" style="123" customWidth="1"/>
    <col min="10755" max="10755" width="20.7109375" style="123" customWidth="1"/>
    <col min="10756" max="10756" width="9.140625" style="123"/>
    <col min="10757" max="10757" width="11.85546875" style="123" customWidth="1"/>
    <col min="10758" max="10758" width="11.7109375" style="123" customWidth="1"/>
    <col min="10759" max="10759" width="12.42578125" style="123" customWidth="1"/>
    <col min="10760" max="10760" width="13.42578125" style="123" customWidth="1"/>
    <col min="10761" max="11009" width="9.140625" style="123"/>
    <col min="11010" max="11010" width="49.140625" style="123" customWidth="1"/>
    <col min="11011" max="11011" width="20.7109375" style="123" customWidth="1"/>
    <col min="11012" max="11012" width="9.140625" style="123"/>
    <col min="11013" max="11013" width="11.85546875" style="123" customWidth="1"/>
    <col min="11014" max="11014" width="11.7109375" style="123" customWidth="1"/>
    <col min="11015" max="11015" width="12.42578125" style="123" customWidth="1"/>
    <col min="11016" max="11016" width="13.42578125" style="123" customWidth="1"/>
    <col min="11017" max="11265" width="9.140625" style="123"/>
    <col min="11266" max="11266" width="49.140625" style="123" customWidth="1"/>
    <col min="11267" max="11267" width="20.7109375" style="123" customWidth="1"/>
    <col min="11268" max="11268" width="9.140625" style="123"/>
    <col min="11269" max="11269" width="11.85546875" style="123" customWidth="1"/>
    <col min="11270" max="11270" width="11.7109375" style="123" customWidth="1"/>
    <col min="11271" max="11271" width="12.42578125" style="123" customWidth="1"/>
    <col min="11272" max="11272" width="13.42578125" style="123" customWidth="1"/>
    <col min="11273" max="11521" width="9.140625" style="123"/>
    <col min="11522" max="11522" width="49.140625" style="123" customWidth="1"/>
    <col min="11523" max="11523" width="20.7109375" style="123" customWidth="1"/>
    <col min="11524" max="11524" width="9.140625" style="123"/>
    <col min="11525" max="11525" width="11.85546875" style="123" customWidth="1"/>
    <col min="11526" max="11526" width="11.7109375" style="123" customWidth="1"/>
    <col min="11527" max="11527" width="12.42578125" style="123" customWidth="1"/>
    <col min="11528" max="11528" width="13.42578125" style="123" customWidth="1"/>
    <col min="11529" max="11777" width="9.140625" style="123"/>
    <col min="11778" max="11778" width="49.140625" style="123" customWidth="1"/>
    <col min="11779" max="11779" width="20.7109375" style="123" customWidth="1"/>
    <col min="11780" max="11780" width="9.140625" style="123"/>
    <col min="11781" max="11781" width="11.85546875" style="123" customWidth="1"/>
    <col min="11782" max="11782" width="11.7109375" style="123" customWidth="1"/>
    <col min="11783" max="11783" width="12.42578125" style="123" customWidth="1"/>
    <col min="11784" max="11784" width="13.42578125" style="123" customWidth="1"/>
    <col min="11785" max="12033" width="9.140625" style="123"/>
    <col min="12034" max="12034" width="49.140625" style="123" customWidth="1"/>
    <col min="12035" max="12035" width="20.7109375" style="123" customWidth="1"/>
    <col min="12036" max="12036" width="9.140625" style="123"/>
    <col min="12037" max="12037" width="11.85546875" style="123" customWidth="1"/>
    <col min="12038" max="12038" width="11.7109375" style="123" customWidth="1"/>
    <col min="12039" max="12039" width="12.42578125" style="123" customWidth="1"/>
    <col min="12040" max="12040" width="13.42578125" style="123" customWidth="1"/>
    <col min="12041" max="12289" width="9.140625" style="123"/>
    <col min="12290" max="12290" width="49.140625" style="123" customWidth="1"/>
    <col min="12291" max="12291" width="20.7109375" style="123" customWidth="1"/>
    <col min="12292" max="12292" width="9.140625" style="123"/>
    <col min="12293" max="12293" width="11.85546875" style="123" customWidth="1"/>
    <col min="12294" max="12294" width="11.7109375" style="123" customWidth="1"/>
    <col min="12295" max="12295" width="12.42578125" style="123" customWidth="1"/>
    <col min="12296" max="12296" width="13.42578125" style="123" customWidth="1"/>
    <col min="12297" max="12545" width="9.140625" style="123"/>
    <col min="12546" max="12546" width="49.140625" style="123" customWidth="1"/>
    <col min="12547" max="12547" width="20.7109375" style="123" customWidth="1"/>
    <col min="12548" max="12548" width="9.140625" style="123"/>
    <col min="12549" max="12549" width="11.85546875" style="123" customWidth="1"/>
    <col min="12550" max="12550" width="11.7109375" style="123" customWidth="1"/>
    <col min="12551" max="12551" width="12.42578125" style="123" customWidth="1"/>
    <col min="12552" max="12552" width="13.42578125" style="123" customWidth="1"/>
    <col min="12553" max="12801" width="9.140625" style="123"/>
    <col min="12802" max="12802" width="49.140625" style="123" customWidth="1"/>
    <col min="12803" max="12803" width="20.7109375" style="123" customWidth="1"/>
    <col min="12804" max="12804" width="9.140625" style="123"/>
    <col min="12805" max="12805" width="11.85546875" style="123" customWidth="1"/>
    <col min="12806" max="12806" width="11.7109375" style="123" customWidth="1"/>
    <col min="12807" max="12807" width="12.42578125" style="123" customWidth="1"/>
    <col min="12808" max="12808" width="13.42578125" style="123" customWidth="1"/>
    <col min="12809" max="13057" width="9.140625" style="123"/>
    <col min="13058" max="13058" width="49.140625" style="123" customWidth="1"/>
    <col min="13059" max="13059" width="20.7109375" style="123" customWidth="1"/>
    <col min="13060" max="13060" width="9.140625" style="123"/>
    <col min="13061" max="13061" width="11.85546875" style="123" customWidth="1"/>
    <col min="13062" max="13062" width="11.7109375" style="123" customWidth="1"/>
    <col min="13063" max="13063" width="12.42578125" style="123" customWidth="1"/>
    <col min="13064" max="13064" width="13.42578125" style="123" customWidth="1"/>
    <col min="13065" max="13313" width="9.140625" style="123"/>
    <col min="13314" max="13314" width="49.140625" style="123" customWidth="1"/>
    <col min="13315" max="13315" width="20.7109375" style="123" customWidth="1"/>
    <col min="13316" max="13316" width="9.140625" style="123"/>
    <col min="13317" max="13317" width="11.85546875" style="123" customWidth="1"/>
    <col min="13318" max="13318" width="11.7109375" style="123" customWidth="1"/>
    <col min="13319" max="13319" width="12.42578125" style="123" customWidth="1"/>
    <col min="13320" max="13320" width="13.42578125" style="123" customWidth="1"/>
    <col min="13321" max="13569" width="9.140625" style="123"/>
    <col min="13570" max="13570" width="49.140625" style="123" customWidth="1"/>
    <col min="13571" max="13571" width="20.7109375" style="123" customWidth="1"/>
    <col min="13572" max="13572" width="9.140625" style="123"/>
    <col min="13573" max="13573" width="11.85546875" style="123" customWidth="1"/>
    <col min="13574" max="13574" width="11.7109375" style="123" customWidth="1"/>
    <col min="13575" max="13575" width="12.42578125" style="123" customWidth="1"/>
    <col min="13576" max="13576" width="13.42578125" style="123" customWidth="1"/>
    <col min="13577" max="13825" width="9.140625" style="123"/>
    <col min="13826" max="13826" width="49.140625" style="123" customWidth="1"/>
    <col min="13827" max="13827" width="20.7109375" style="123" customWidth="1"/>
    <col min="13828" max="13828" width="9.140625" style="123"/>
    <col min="13829" max="13829" width="11.85546875" style="123" customWidth="1"/>
    <col min="13830" max="13830" width="11.7109375" style="123" customWidth="1"/>
    <col min="13831" max="13831" width="12.42578125" style="123" customWidth="1"/>
    <col min="13832" max="13832" width="13.42578125" style="123" customWidth="1"/>
    <col min="13833" max="14081" width="9.140625" style="123"/>
    <col min="14082" max="14082" width="49.140625" style="123" customWidth="1"/>
    <col min="14083" max="14083" width="20.7109375" style="123" customWidth="1"/>
    <col min="14084" max="14084" width="9.140625" style="123"/>
    <col min="14085" max="14085" width="11.85546875" style="123" customWidth="1"/>
    <col min="14086" max="14086" width="11.7109375" style="123" customWidth="1"/>
    <col min="14087" max="14087" width="12.42578125" style="123" customWidth="1"/>
    <col min="14088" max="14088" width="13.42578125" style="123" customWidth="1"/>
    <col min="14089" max="14337" width="9.140625" style="123"/>
    <col min="14338" max="14338" width="49.140625" style="123" customWidth="1"/>
    <col min="14339" max="14339" width="20.7109375" style="123" customWidth="1"/>
    <col min="14340" max="14340" width="9.140625" style="123"/>
    <col min="14341" max="14341" width="11.85546875" style="123" customWidth="1"/>
    <col min="14342" max="14342" width="11.7109375" style="123" customWidth="1"/>
    <col min="14343" max="14343" width="12.42578125" style="123" customWidth="1"/>
    <col min="14344" max="14344" width="13.42578125" style="123" customWidth="1"/>
    <col min="14345" max="14593" width="9.140625" style="123"/>
    <col min="14594" max="14594" width="49.140625" style="123" customWidth="1"/>
    <col min="14595" max="14595" width="20.7109375" style="123" customWidth="1"/>
    <col min="14596" max="14596" width="9.140625" style="123"/>
    <col min="14597" max="14597" width="11.85546875" style="123" customWidth="1"/>
    <col min="14598" max="14598" width="11.7109375" style="123" customWidth="1"/>
    <col min="14599" max="14599" width="12.42578125" style="123" customWidth="1"/>
    <col min="14600" max="14600" width="13.42578125" style="123" customWidth="1"/>
    <col min="14601" max="14849" width="9.140625" style="123"/>
    <col min="14850" max="14850" width="49.140625" style="123" customWidth="1"/>
    <col min="14851" max="14851" width="20.7109375" style="123" customWidth="1"/>
    <col min="14852" max="14852" width="9.140625" style="123"/>
    <col min="14853" max="14853" width="11.85546875" style="123" customWidth="1"/>
    <col min="14854" max="14854" width="11.7109375" style="123" customWidth="1"/>
    <col min="14855" max="14855" width="12.42578125" style="123" customWidth="1"/>
    <col min="14856" max="14856" width="13.42578125" style="123" customWidth="1"/>
    <col min="14857" max="15105" width="9.140625" style="123"/>
    <col min="15106" max="15106" width="49.140625" style="123" customWidth="1"/>
    <col min="15107" max="15107" width="20.7109375" style="123" customWidth="1"/>
    <col min="15108" max="15108" width="9.140625" style="123"/>
    <col min="15109" max="15109" width="11.85546875" style="123" customWidth="1"/>
    <col min="15110" max="15110" width="11.7109375" style="123" customWidth="1"/>
    <col min="15111" max="15111" width="12.42578125" style="123" customWidth="1"/>
    <col min="15112" max="15112" width="13.42578125" style="123" customWidth="1"/>
    <col min="15113" max="15361" width="9.140625" style="123"/>
    <col min="15362" max="15362" width="49.140625" style="123" customWidth="1"/>
    <col min="15363" max="15363" width="20.7109375" style="123" customWidth="1"/>
    <col min="15364" max="15364" width="9.140625" style="123"/>
    <col min="15365" max="15365" width="11.85546875" style="123" customWidth="1"/>
    <col min="15366" max="15366" width="11.7109375" style="123" customWidth="1"/>
    <col min="15367" max="15367" width="12.42578125" style="123" customWidth="1"/>
    <col min="15368" max="15368" width="13.42578125" style="123" customWidth="1"/>
    <col min="15369" max="15617" width="9.140625" style="123"/>
    <col min="15618" max="15618" width="49.140625" style="123" customWidth="1"/>
    <col min="15619" max="15619" width="20.7109375" style="123" customWidth="1"/>
    <col min="15620" max="15620" width="9.140625" style="123"/>
    <col min="15621" max="15621" width="11.85546875" style="123" customWidth="1"/>
    <col min="15622" max="15622" width="11.7109375" style="123" customWidth="1"/>
    <col min="15623" max="15623" width="12.42578125" style="123" customWidth="1"/>
    <col min="15624" max="15624" width="13.42578125" style="123" customWidth="1"/>
    <col min="15625" max="15873" width="9.140625" style="123"/>
    <col min="15874" max="15874" width="49.140625" style="123" customWidth="1"/>
    <col min="15875" max="15875" width="20.7109375" style="123" customWidth="1"/>
    <col min="15876" max="15876" width="9.140625" style="123"/>
    <col min="15877" max="15877" width="11.85546875" style="123" customWidth="1"/>
    <col min="15878" max="15878" width="11.7109375" style="123" customWidth="1"/>
    <col min="15879" max="15879" width="12.42578125" style="123" customWidth="1"/>
    <col min="15880" max="15880" width="13.42578125" style="123" customWidth="1"/>
    <col min="15881" max="16129" width="9.140625" style="123"/>
    <col min="16130" max="16130" width="49.140625" style="123" customWidth="1"/>
    <col min="16131" max="16131" width="20.7109375" style="123" customWidth="1"/>
    <col min="16132" max="16132" width="9.140625" style="123"/>
    <col min="16133" max="16133" width="11.85546875" style="123" customWidth="1"/>
    <col min="16134" max="16134" width="11.7109375" style="123" customWidth="1"/>
    <col min="16135" max="16135" width="12.42578125" style="123" customWidth="1"/>
    <col min="16136" max="16136" width="13.42578125" style="123" customWidth="1"/>
    <col min="16137" max="16384" width="9.140625" style="123"/>
  </cols>
  <sheetData>
    <row r="1" spans="2:13" ht="20.100000000000001" customHeight="1">
      <c r="B1" s="1122" t="s">
        <v>501</v>
      </c>
      <c r="C1" s="1129"/>
      <c r="D1" s="1129"/>
      <c r="E1" s="1129"/>
      <c r="F1" s="1129"/>
      <c r="G1" s="1129"/>
      <c r="H1" s="1123"/>
      <c r="I1" s="124"/>
      <c r="J1" s="124"/>
      <c r="K1" s="124"/>
      <c r="L1" s="124"/>
      <c r="M1" s="124"/>
    </row>
    <row r="2" spans="2:13" ht="20.100000000000001" customHeight="1">
      <c r="B2" s="1124" t="s">
        <v>274</v>
      </c>
      <c r="C2" s="1126"/>
      <c r="E2" s="521">
        <v>1</v>
      </c>
      <c r="F2" s="521">
        <v>2</v>
      </c>
      <c r="G2" s="521">
        <v>3</v>
      </c>
      <c r="H2" s="522">
        <v>4</v>
      </c>
    </row>
    <row r="3" spans="2:13" ht="20.100000000000001" customHeight="1">
      <c r="B3" s="510" t="s">
        <v>275</v>
      </c>
      <c r="C3" s="152">
        <f>' Break EvenPoint'!E3</f>
        <v>4420.4731647530152</v>
      </c>
      <c r="E3" s="152">
        <f>C3-C3*0.11</f>
        <v>3934.2211166301836</v>
      </c>
      <c r="F3" s="152">
        <f>C3</f>
        <v>4420.4731647530152</v>
      </c>
      <c r="G3" s="152">
        <f>C3-C3*0.05</f>
        <v>4199.4495065153642</v>
      </c>
      <c r="H3" s="511">
        <f>C3</f>
        <v>4420.4731647530152</v>
      </c>
    </row>
    <row r="4" spans="2:13" ht="20.100000000000001" customHeight="1">
      <c r="B4" s="510" t="s">
        <v>276</v>
      </c>
      <c r="C4" s="153"/>
      <c r="E4" s="154"/>
      <c r="F4" s="154"/>
      <c r="G4" s="154"/>
      <c r="H4" s="514"/>
    </row>
    <row r="5" spans="2:13" ht="20.100000000000001" customHeight="1">
      <c r="B5" s="513" t="s">
        <v>452</v>
      </c>
      <c r="C5" s="154">
        <f>' Break EvenPoint'!E5</f>
        <v>1718.7995951992466</v>
      </c>
      <c r="E5" s="154">
        <f>C5</f>
        <v>1718.7995951992466</v>
      </c>
      <c r="F5" s="154">
        <f>E5+E5*16.5%</f>
        <v>2002.4015284071222</v>
      </c>
      <c r="G5" s="154">
        <f>C5+C5*0.09</f>
        <v>1873.4915587671787</v>
      </c>
      <c r="H5" s="514">
        <f>C5</f>
        <v>1718.7995951992466</v>
      </c>
    </row>
    <row r="6" spans="2:13" ht="20.100000000000001" customHeight="1">
      <c r="B6" s="513" t="s">
        <v>17</v>
      </c>
      <c r="C6" s="154">
        <f>' Break EvenPoint'!E6</f>
        <v>224.29620186874999</v>
      </c>
      <c r="E6" s="154">
        <f>C6</f>
        <v>224.29620186874999</v>
      </c>
      <c r="F6" s="154">
        <f>E6</f>
        <v>224.29620186874999</v>
      </c>
      <c r="G6" s="154">
        <f>F6</f>
        <v>224.29620186874999</v>
      </c>
      <c r="H6" s="514">
        <f>G6</f>
        <v>224.29620186874999</v>
      </c>
    </row>
    <row r="7" spans="2:13" ht="20.100000000000001" customHeight="1">
      <c r="B7" s="513" t="s">
        <v>15</v>
      </c>
      <c r="C7" s="154">
        <f>' Break EvenPoint'!E7</f>
        <v>35.010976714999991</v>
      </c>
      <c r="E7" s="154">
        <f>C7</f>
        <v>35.010976714999991</v>
      </c>
      <c r="F7" s="154">
        <f t="shared" ref="F7:H8" si="0">E7</f>
        <v>35.010976714999991</v>
      </c>
      <c r="G7" s="154">
        <f t="shared" si="0"/>
        <v>35.010976714999991</v>
      </c>
      <c r="H7" s="514">
        <f t="shared" si="0"/>
        <v>35.010976714999991</v>
      </c>
    </row>
    <row r="8" spans="2:13" ht="20.100000000000001" customHeight="1">
      <c r="B8" s="513" t="s">
        <v>21</v>
      </c>
      <c r="C8" s="154">
        <f>' Break EvenPoint'!E8</f>
        <v>136.59935993199829</v>
      </c>
      <c r="E8" s="154">
        <f>C8</f>
        <v>136.59935993199829</v>
      </c>
      <c r="F8" s="154">
        <f t="shared" si="0"/>
        <v>136.59935993199829</v>
      </c>
      <c r="G8" s="154">
        <f t="shared" si="0"/>
        <v>136.59935993199829</v>
      </c>
      <c r="H8" s="514">
        <f t="shared" si="0"/>
        <v>136.59935993199829</v>
      </c>
    </row>
    <row r="9" spans="2:13" ht="20.100000000000001" customHeight="1">
      <c r="B9" s="515" t="s">
        <v>277</v>
      </c>
      <c r="C9" s="152">
        <f>SUM(C5:C8)</f>
        <v>2114.7061337149948</v>
      </c>
      <c r="D9" s="130"/>
      <c r="E9" s="152">
        <f>SUM(E5:E8)</f>
        <v>2114.7061337149948</v>
      </c>
      <c r="F9" s="152">
        <f>SUM(F5:F8)</f>
        <v>2398.3080669228707</v>
      </c>
      <c r="G9" s="152">
        <f>SUM(G5:G8)</f>
        <v>2269.3980972829272</v>
      </c>
      <c r="H9" s="511">
        <f>SUM(H5:H8)+SUM(H5:H8)*14.5%</f>
        <v>2421.3385231036691</v>
      </c>
    </row>
    <row r="10" spans="2:13" ht="20.100000000000001" customHeight="1">
      <c r="B10" s="510" t="s">
        <v>278</v>
      </c>
      <c r="C10" s="152">
        <f>+C3-C9</f>
        <v>2305.7670310380204</v>
      </c>
      <c r="E10" s="152">
        <f>+E3-E9</f>
        <v>1819.5149829151887</v>
      </c>
      <c r="F10" s="152">
        <f>+F3-F9</f>
        <v>2022.1650978301445</v>
      </c>
      <c r="G10" s="152">
        <f>+G3-G9</f>
        <v>1930.051409232437</v>
      </c>
      <c r="H10" s="511">
        <f>+H3-H9</f>
        <v>1999.1346416493461</v>
      </c>
      <c r="I10" s="125"/>
    </row>
    <row r="11" spans="2:13" ht="20.100000000000001" customHeight="1">
      <c r="B11" s="510" t="s">
        <v>279</v>
      </c>
      <c r="C11" s="153"/>
      <c r="E11" s="125"/>
      <c r="F11" s="125"/>
      <c r="G11" s="127"/>
      <c r="H11" s="518"/>
      <c r="I11" s="125"/>
    </row>
    <row r="12" spans="2:13" ht="20.100000000000001" customHeight="1">
      <c r="B12" s="513" t="s">
        <v>20</v>
      </c>
      <c r="C12" s="154">
        <f>' Break EvenPoint'!E12</f>
        <v>114.01719891595445</v>
      </c>
      <c r="E12" s="154">
        <f>C12</f>
        <v>114.01719891595445</v>
      </c>
      <c r="F12" s="154">
        <f t="shared" ref="F12:H13" si="1">E12</f>
        <v>114.01719891595445</v>
      </c>
      <c r="G12" s="154">
        <f t="shared" si="1"/>
        <v>114.01719891595445</v>
      </c>
      <c r="H12" s="514">
        <f t="shared" si="1"/>
        <v>114.01719891595445</v>
      </c>
      <c r="I12" s="125"/>
    </row>
    <row r="13" spans="2:13" ht="20.100000000000001" customHeight="1">
      <c r="B13" s="513" t="s">
        <v>31</v>
      </c>
      <c r="C13" s="154">
        <f>' Break EvenPoint'!E14</f>
        <v>605.34501838079996</v>
      </c>
      <c r="E13" s="154">
        <f>C13</f>
        <v>605.34501838079996</v>
      </c>
      <c r="F13" s="154">
        <f t="shared" si="1"/>
        <v>605.34501838079996</v>
      </c>
      <c r="G13" s="154">
        <f t="shared" si="1"/>
        <v>605.34501838079996</v>
      </c>
      <c r="H13" s="514">
        <f t="shared" si="1"/>
        <v>605.34501838079996</v>
      </c>
      <c r="I13" s="132"/>
    </row>
    <row r="14" spans="2:13" ht="20.100000000000001" customHeight="1">
      <c r="B14" s="513" t="s">
        <v>476</v>
      </c>
      <c r="C14" s="154">
        <f>'Interest Calculation'!B12</f>
        <v>454.00876378559997</v>
      </c>
      <c r="E14" s="154">
        <f>C14</f>
        <v>454.00876378559997</v>
      </c>
      <c r="F14" s="154">
        <f>E14</f>
        <v>454.00876378559997</v>
      </c>
      <c r="G14" s="154">
        <f t="shared" ref="G14:H14" si="2">E14</f>
        <v>454.00876378559997</v>
      </c>
      <c r="H14" s="514">
        <f t="shared" si="2"/>
        <v>454.00876378559997</v>
      </c>
      <c r="I14" s="132"/>
    </row>
    <row r="15" spans="2:13" ht="20.100000000000001" customHeight="1">
      <c r="B15" s="513" t="s">
        <v>145</v>
      </c>
      <c r="C15" s="152">
        <f>SUM(C12:C14)</f>
        <v>1173.3709810823543</v>
      </c>
      <c r="E15" s="152">
        <f>SUM(E12:E14)</f>
        <v>1173.3709810823543</v>
      </c>
      <c r="F15" s="152">
        <f>SUM(F12:F14)</f>
        <v>1173.3709810823543</v>
      </c>
      <c r="G15" s="152">
        <f>SUM(G12:G14)</f>
        <v>1173.3709810823543</v>
      </c>
      <c r="H15" s="511">
        <f>SUM(H12:H14)</f>
        <v>1173.3709810823543</v>
      </c>
      <c r="I15" s="132"/>
    </row>
    <row r="16" spans="2:13" ht="20.100000000000001" customHeight="1">
      <c r="B16" s="516" t="s">
        <v>280</v>
      </c>
      <c r="C16" s="519">
        <f>C15/C10</f>
        <v>0.50888531464261633</v>
      </c>
      <c r="D16" s="520"/>
      <c r="E16" s="519">
        <f>E15/E10</f>
        <v>0.64488118652499582</v>
      </c>
      <c r="F16" s="519">
        <f>F15/F10</f>
        <v>0.58025478846481093</v>
      </c>
      <c r="G16" s="519">
        <f>G15/G10</f>
        <v>0.60794804504663047</v>
      </c>
      <c r="H16" s="517">
        <f>H15/H10</f>
        <v>0.58693944701707934</v>
      </c>
      <c r="I16" s="132"/>
      <c r="J16" s="124"/>
    </row>
    <row r="17" spans="1:9" ht="20.100000000000001" customHeight="1">
      <c r="B17" s="127"/>
      <c r="C17" s="127"/>
      <c r="H17" s="132"/>
      <c r="I17" s="132"/>
    </row>
    <row r="18" spans="1:9" ht="20.100000000000001" customHeight="1">
      <c r="A18" s="526" t="s">
        <v>117</v>
      </c>
      <c r="B18" s="1127" t="s">
        <v>368</v>
      </c>
      <c r="C18" s="1127"/>
    </row>
    <row r="19" spans="1:9">
      <c r="A19" s="523"/>
      <c r="B19" s="343" t="s">
        <v>362</v>
      </c>
      <c r="C19" s="344" t="s">
        <v>363</v>
      </c>
    </row>
    <row r="20" spans="1:9">
      <c r="A20" s="524"/>
      <c r="B20" s="345" t="s">
        <v>444</v>
      </c>
      <c r="C20" s="346">
        <f>C16</f>
        <v>0.50888531464261633</v>
      </c>
    </row>
    <row r="21" spans="1:9">
      <c r="A21" s="524"/>
      <c r="B21" s="345"/>
      <c r="C21" s="347"/>
    </row>
    <row r="22" spans="1:9">
      <c r="A22" s="524">
        <v>1</v>
      </c>
      <c r="B22" s="345" t="s">
        <v>364</v>
      </c>
      <c r="C22" s="348">
        <f>E16</f>
        <v>0.64488118652499582</v>
      </c>
    </row>
    <row r="23" spans="1:9">
      <c r="A23" s="524">
        <v>2</v>
      </c>
      <c r="B23" s="345" t="s">
        <v>365</v>
      </c>
      <c r="C23" s="348">
        <f>F16</f>
        <v>0.58025478846481093</v>
      </c>
    </row>
    <row r="24" spans="1:9">
      <c r="A24" s="524">
        <v>3</v>
      </c>
      <c r="B24" s="345" t="s">
        <v>366</v>
      </c>
      <c r="C24" s="348">
        <f>G16</f>
        <v>0.60794804504663047</v>
      </c>
    </row>
    <row r="25" spans="1:9">
      <c r="A25" s="525">
        <v>4</v>
      </c>
      <c r="B25" s="349" t="s">
        <v>367</v>
      </c>
      <c r="C25" s="350">
        <f>H16</f>
        <v>0.58693944701707934</v>
      </c>
    </row>
    <row r="27" spans="1:9" ht="40.5" customHeight="1">
      <c r="B27" s="1128" t="s">
        <v>419</v>
      </c>
      <c r="C27" s="1128"/>
    </row>
  </sheetData>
  <mergeCells count="4">
    <mergeCell ref="B1:H1"/>
    <mergeCell ref="B2:C2"/>
    <mergeCell ref="B18:C18"/>
    <mergeCell ref="B27:C27"/>
  </mergeCells>
  <printOptions horizontalCentered="1" gridLines="1"/>
  <pageMargins left="1" right="0.75" top="1" bottom="1" header="0.5" footer="0.5"/>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CEC35-FAA9-4020-A700-082EEC6A60A9}">
  <dimension ref="A1:K17"/>
  <sheetViews>
    <sheetView showGridLines="0" workbookViewId="0">
      <selection activeCell="F9" sqref="F9"/>
    </sheetView>
  </sheetViews>
  <sheetFormatPr defaultRowHeight="15"/>
  <cols>
    <col min="1" max="1" width="21" bestFit="1" customWidth="1"/>
    <col min="2" max="11" width="13.140625" customWidth="1"/>
  </cols>
  <sheetData>
    <row r="1" spans="1:11">
      <c r="A1" s="1107" t="s">
        <v>455</v>
      </c>
      <c r="B1" s="1108"/>
      <c r="C1" s="1108"/>
      <c r="D1" s="1108"/>
      <c r="E1" s="1108"/>
      <c r="F1" s="1108"/>
      <c r="G1" s="1108"/>
      <c r="H1" s="1108"/>
      <c r="I1" s="1108"/>
      <c r="J1" s="1108"/>
      <c r="K1" s="1109"/>
    </row>
    <row r="2" spans="1:11">
      <c r="A2" s="505" t="s">
        <v>259</v>
      </c>
      <c r="B2" s="506">
        <v>0.7</v>
      </c>
      <c r="C2" s="506">
        <v>0.9</v>
      </c>
      <c r="D2" s="506">
        <v>1</v>
      </c>
      <c r="E2" s="506">
        <v>1</v>
      </c>
      <c r="F2" s="506">
        <v>1</v>
      </c>
      <c r="G2" s="506">
        <v>1</v>
      </c>
      <c r="H2" s="506">
        <v>1</v>
      </c>
      <c r="I2" s="506">
        <v>1</v>
      </c>
      <c r="J2" s="506">
        <v>1</v>
      </c>
      <c r="K2" s="507">
        <v>1</v>
      </c>
    </row>
    <row r="3" spans="1:11">
      <c r="A3" s="1110" t="s">
        <v>260</v>
      </c>
      <c r="B3" s="1111"/>
      <c r="C3" s="1111"/>
      <c r="D3" s="1111"/>
      <c r="E3" s="1111"/>
      <c r="F3" s="1111"/>
      <c r="G3" s="1111"/>
      <c r="H3" s="1111"/>
      <c r="I3" s="1111"/>
      <c r="J3" s="1111"/>
      <c r="K3" s="1112"/>
    </row>
    <row r="4" spans="1:11">
      <c r="A4" s="505"/>
      <c r="B4" s="134" t="s">
        <v>261</v>
      </c>
      <c r="C4" s="134" t="s">
        <v>262</v>
      </c>
      <c r="D4" s="134" t="s">
        <v>263</v>
      </c>
      <c r="E4" s="134" t="s">
        <v>264</v>
      </c>
      <c r="F4" s="134" t="s">
        <v>265</v>
      </c>
      <c r="G4" s="134" t="s">
        <v>266</v>
      </c>
      <c r="H4" s="134" t="s">
        <v>267</v>
      </c>
      <c r="I4" s="134" t="s">
        <v>268</v>
      </c>
      <c r="J4" s="134" t="s">
        <v>269</v>
      </c>
      <c r="K4" s="508" t="s">
        <v>270</v>
      </c>
    </row>
    <row r="5" spans="1:11">
      <c r="A5" s="505" t="s">
        <v>300</v>
      </c>
      <c r="B5" s="146">
        <f>'Cashflow - PVC Phenol Propane'!H11</f>
        <v>4461.0919390932513</v>
      </c>
      <c r="C5" s="146">
        <f>'Cashflow - PVC Phenol Propane'!I11</f>
        <v>5681.9324814614465</v>
      </c>
      <c r="D5" s="146">
        <f>'Cashflow - PVC Phenol Propane'!J11</f>
        <v>6385.8926401717081</v>
      </c>
      <c r="E5" s="146">
        <f>'Cashflow - PVC Phenol Propane'!K11</f>
        <v>6743.5121296301859</v>
      </c>
      <c r="F5" s="146">
        <f>'Cashflow - PVC Phenol Propane'!L11</f>
        <v>7121.291440926283</v>
      </c>
      <c r="G5" s="146">
        <f>'Cashflow - PVC Phenol Propane'!M11</f>
        <v>7520.3732140359316</v>
      </c>
      <c r="H5" s="146">
        <f>'Cashflow - PVC Phenol Propane'!N11</f>
        <v>7941.9651395389074</v>
      </c>
      <c r="I5" s="146">
        <f>'Cashflow - PVC Phenol Propane'!O11</f>
        <v>8387.3436751986737</v>
      </c>
      <c r="J5" s="146">
        <f>'Cashflow - PVC Phenol Propane'!P11</f>
        <v>8857.857975493509</v>
      </c>
      <c r="K5" s="527">
        <f>'Cashflow - PVC Phenol Propane'!Q11</f>
        <v>9354.9340463285807</v>
      </c>
    </row>
    <row r="6" spans="1:11">
      <c r="A6" s="505" t="s">
        <v>446</v>
      </c>
      <c r="B6" s="146">
        <f>SUM(B7:B12)</f>
        <v>2450.9623805129163</v>
      </c>
      <c r="C6" s="146">
        <f t="shared" ref="C6:K6" si="0">SUM(C7:C12)</f>
        <v>2946.6129095194378</v>
      </c>
      <c r="D6" s="146">
        <f t="shared" si="0"/>
        <v>3210.7161016281257</v>
      </c>
      <c r="E6" s="146">
        <f t="shared" si="0"/>
        <v>3389.3303321565791</v>
      </c>
      <c r="F6" s="146">
        <f t="shared" si="0"/>
        <v>3575.4881864158701</v>
      </c>
      <c r="G6" s="146">
        <f t="shared" si="0"/>
        <v>3773.1553244159036</v>
      </c>
      <c r="H6" s="146">
        <f t="shared" si="0"/>
        <v>3981.5395237768048</v>
      </c>
      <c r="I6" s="146">
        <f t="shared" si="0"/>
        <v>4201.9881932772587</v>
      </c>
      <c r="J6" s="146">
        <f t="shared" si="0"/>
        <v>4436.5352884243102</v>
      </c>
      <c r="K6" s="527">
        <f t="shared" si="0"/>
        <v>4678.5371113846586</v>
      </c>
    </row>
    <row r="7" spans="1:11">
      <c r="A7" s="52" t="s">
        <v>28</v>
      </c>
      <c r="B7" s="146">
        <f>'Cashflow - PVC Phenol Propane'!H18</f>
        <v>1737.9815164706479</v>
      </c>
      <c r="C7" s="146">
        <f>'Cashflow - PVC Phenol Propane'!I18</f>
        <v>2141.4711350877678</v>
      </c>
      <c r="D7" s="146">
        <f>'Cashflow - PVC Phenol Propane'!J18</f>
        <v>2352.3129350334357</v>
      </c>
      <c r="E7" s="146">
        <f>'Cashflow - PVC Phenol Propane'!K18</f>
        <v>2490.0649396560043</v>
      </c>
      <c r="F7" s="146">
        <f>'Cashflow - PVC Phenol Propane'!L18</f>
        <v>2633.4375274323902</v>
      </c>
      <c r="G7" s="146">
        <f>'Cashflow - PVC Phenol Propane'!M18</f>
        <v>2786.3611016856557</v>
      </c>
      <c r="H7" s="146">
        <f>'Cashflow - PVC Phenol Propane'!N18</f>
        <v>2947.8495441158739</v>
      </c>
      <c r="I7" s="146">
        <f>'Cashflow - PVC Phenol Propane'!O18</f>
        <v>3119.1452291561518</v>
      </c>
      <c r="J7" s="146">
        <f>'Cashflow - PVC Phenol Propane'!P18</f>
        <v>3302.1718684443622</v>
      </c>
      <c r="K7" s="527">
        <f>'Cashflow - PVC Phenol Propane'!Q18</f>
        <v>3490.1700478287239</v>
      </c>
    </row>
    <row r="8" spans="1:11">
      <c r="A8" s="52" t="s">
        <v>328</v>
      </c>
      <c r="B8" s="146">
        <f>'Cashflow - PVC Phenol Propane'!H19</f>
        <v>92.910999999999987</v>
      </c>
      <c r="C8" s="146">
        <f>'Cashflow - PVC Phenol Propane'!I19</f>
        <v>126.76746975749997</v>
      </c>
      <c r="D8" s="146">
        <f>'Cashflow - PVC Phenol Propane'!J19</f>
        <v>149.50201821018209</v>
      </c>
      <c r="E8" s="146">
        <f>'Cashflow - PVC Phenol Propane'!K19</f>
        <v>158.46369243876413</v>
      </c>
      <c r="F8" s="146">
        <f>'Cashflow - PVC Phenol Propane'!L19</f>
        <v>167.91288241888759</v>
      </c>
      <c r="G8" s="146">
        <f>'Cashflow - PVC Phenol Propane'!M19</f>
        <v>177.8202462202492</v>
      </c>
      <c r="H8" s="146">
        <f>'Cashflow - PVC Phenol Propane'!N19</f>
        <v>188.31217420798251</v>
      </c>
      <c r="I8" s="146">
        <f>'Cashflow - PVC Phenol Propane'!O19</f>
        <v>199.42315742277611</v>
      </c>
      <c r="J8" s="146">
        <f>'Cashflow - PVC Phenol Propane'!P19</f>
        <v>211.18972198019213</v>
      </c>
      <c r="K8" s="527">
        <f>'Cashflow - PVC Phenol Propane'!Q19</f>
        <v>223.65054914618941</v>
      </c>
    </row>
    <row r="9" spans="1:11">
      <c r="A9" s="52" t="s">
        <v>29</v>
      </c>
      <c r="B9" s="146">
        <f>'Cashflow - PVC Phenol Propane'!H20</f>
        <v>49.41</v>
      </c>
      <c r="C9" s="146">
        <f>'Cashflow - PVC Phenol Propane'!I20</f>
        <v>51.633449999999996</v>
      </c>
      <c r="D9" s="146">
        <f>'Cashflow - PVC Phenol Propane'!J20</f>
        <v>53.956955249999993</v>
      </c>
      <c r="E9" s="146">
        <f>'Cashflow - PVC Phenol Propane'!K20</f>
        <v>56.385018236249991</v>
      </c>
      <c r="F9" s="146">
        <f>'Cashflow - PVC Phenol Propane'!L20</f>
        <v>58.922344056881229</v>
      </c>
      <c r="G9" s="146">
        <f>'Cashflow - PVC Phenol Propane'!M20</f>
        <v>61.573849539440886</v>
      </c>
      <c r="H9" s="146">
        <f>'Cashflow - PVC Phenol Propane'!N20</f>
        <v>64.344672768715697</v>
      </c>
      <c r="I9" s="146">
        <f>'Cashflow - PVC Phenol Propane'!O20</f>
        <v>67.240183043307923</v>
      </c>
      <c r="J9" s="146">
        <f>'Cashflow - PVC Phenol Propane'!P20</f>
        <v>70.265991280256742</v>
      </c>
      <c r="K9" s="527">
        <f>'Cashflow - PVC Phenol Propane'!Q20</f>
        <v>73.427960887868295</v>
      </c>
    </row>
    <row r="10" spans="1:11">
      <c r="A10" s="52" t="s">
        <v>17</v>
      </c>
      <c r="B10" s="146">
        <f>'Cashflow - PVC Phenol Propane'!H21</f>
        <v>325.90499999999997</v>
      </c>
      <c r="C10" s="146">
        <f>'Cashflow - PVC Phenol Propane'!I21</f>
        <v>360.15924999999993</v>
      </c>
      <c r="D10" s="146">
        <f>'Cashflow - PVC Phenol Propane'!J21</f>
        <v>376.36641624999993</v>
      </c>
      <c r="E10" s="146">
        <f>'Cashflow - PVC Phenol Propane'!K21</f>
        <v>393.30290498124987</v>
      </c>
      <c r="F10" s="146">
        <f>'Cashflow - PVC Phenol Propane'!L21</f>
        <v>411.00153570540601</v>
      </c>
      <c r="G10" s="146">
        <f>'Cashflow - PVC Phenol Propane'!M21</f>
        <v>429.49660481214931</v>
      </c>
      <c r="H10" s="146">
        <f>'Cashflow - PVC Phenol Propane'!N21</f>
        <v>448.82395202869594</v>
      </c>
      <c r="I10" s="146">
        <f>'Cashflow - PVC Phenol Propane'!O21</f>
        <v>469.02102986998727</v>
      </c>
      <c r="J10" s="146">
        <f>'Cashflow - PVC Phenol Propane'!P21</f>
        <v>490.12697621413656</v>
      </c>
      <c r="K10" s="527">
        <f>'Cashflow - PVC Phenol Propane'!Q21</f>
        <v>512.18269014377267</v>
      </c>
    </row>
    <row r="11" spans="1:11">
      <c r="A11" s="52" t="s">
        <v>20</v>
      </c>
      <c r="B11" s="146">
        <f>'Cashflow - PVC Phenol Propane'!H22</f>
        <v>94.911727505903997</v>
      </c>
      <c r="C11" s="146">
        <f>'Cashflow - PVC Phenol Propane'!I22</f>
        <v>102.18101699366967</v>
      </c>
      <c r="D11" s="146">
        <f>'Cashflow - PVC Phenol Propane'!J22</f>
        <v>106.7791627583848</v>
      </c>
      <c r="E11" s="146">
        <f>'Cashflow - PVC Phenol Propane'!K22</f>
        <v>111.58422508251212</v>
      </c>
      <c r="F11" s="146">
        <f>'Cashflow - PVC Phenol Propane'!L22</f>
        <v>116.60551521122512</v>
      </c>
      <c r="G11" s="146">
        <f>'Cashflow - PVC Phenol Propane'!M22</f>
        <v>121.85276339573025</v>
      </c>
      <c r="H11" s="146">
        <f>'Cashflow - PVC Phenol Propane'!N22</f>
        <v>127.33613774853808</v>
      </c>
      <c r="I11" s="146">
        <f>'Cashflow - PVC Phenol Propane'!O22</f>
        <v>133.0662639472223</v>
      </c>
      <c r="J11" s="146">
        <f>'Cashflow - PVC Phenol Propane'!P22</f>
        <v>139.05424582484727</v>
      </c>
      <c r="K11" s="527">
        <f>'Cashflow - PVC Phenol Propane'!Q22</f>
        <v>145.31168688696539</v>
      </c>
    </row>
    <row r="12" spans="1:11">
      <c r="A12" s="52" t="s">
        <v>21</v>
      </c>
      <c r="B12" s="146">
        <f>'Cashflow - PVC Phenol Propane'!H23</f>
        <v>149.84313653636434</v>
      </c>
      <c r="C12" s="146">
        <f>'Cashflow - PVC Phenol Propane'!I23</f>
        <v>164.40058768050073</v>
      </c>
      <c r="D12" s="146">
        <f>'Cashflow - PVC Phenol Propane'!J23</f>
        <v>171.79861412612325</v>
      </c>
      <c r="E12" s="146">
        <f>'Cashflow - PVC Phenol Propane'!K23</f>
        <v>179.52955176179879</v>
      </c>
      <c r="F12" s="146">
        <f>'Cashflow - PVC Phenol Propane'!L23</f>
        <v>187.60838159107971</v>
      </c>
      <c r="G12" s="146">
        <f>'Cashflow - PVC Phenol Propane'!M23</f>
        <v>196.05075876267827</v>
      </c>
      <c r="H12" s="146">
        <f>'Cashflow - PVC Phenol Propane'!N23</f>
        <v>204.87304290699876</v>
      </c>
      <c r="I12" s="146">
        <f>'Cashflow - PVC Phenol Propane'!O23</f>
        <v>214.09232983781371</v>
      </c>
      <c r="J12" s="146">
        <f>'Cashflow - PVC Phenol Propane'!P23</f>
        <v>223.72648468051526</v>
      </c>
      <c r="K12" s="527">
        <f>'Cashflow - PVC Phenol Propane'!Q23</f>
        <v>233.79417649113844</v>
      </c>
    </row>
    <row r="13" spans="1:11">
      <c r="A13" s="505" t="s">
        <v>447</v>
      </c>
      <c r="B13" s="146">
        <f t="shared" ref="B13:K13" si="1">B5-B6</f>
        <v>2010.129558580335</v>
      </c>
      <c r="C13" s="146">
        <f t="shared" si="1"/>
        <v>2735.3195719420087</v>
      </c>
      <c r="D13" s="146">
        <f t="shared" si="1"/>
        <v>3175.1765385435824</v>
      </c>
      <c r="E13" s="146">
        <f t="shared" si="1"/>
        <v>3354.1817974736068</v>
      </c>
      <c r="F13" s="146">
        <f t="shared" si="1"/>
        <v>3545.8032545104129</v>
      </c>
      <c r="G13" s="146">
        <f t="shared" si="1"/>
        <v>3747.217889620028</v>
      </c>
      <c r="H13" s="146">
        <f t="shared" si="1"/>
        <v>3960.4256157621026</v>
      </c>
      <c r="I13" s="146">
        <f t="shared" si="1"/>
        <v>4185.355481921415</v>
      </c>
      <c r="J13" s="146">
        <f t="shared" si="1"/>
        <v>4421.3226870691988</v>
      </c>
      <c r="K13" s="527">
        <f t="shared" si="1"/>
        <v>4676.3969349439221</v>
      </c>
    </row>
    <row r="14" spans="1:11">
      <c r="A14" s="505" t="s">
        <v>453</v>
      </c>
      <c r="B14" s="146">
        <f>-'Cashflow - PVC Phenol Propane'!$G$10/10</f>
        <v>829.81247678080001</v>
      </c>
      <c r="C14" s="146">
        <f>-'Cashflow - PVC Phenol Propane'!$G$10/10</f>
        <v>829.81247678080001</v>
      </c>
      <c r="D14" s="146">
        <f>-'Cashflow - PVC Phenol Propane'!$G$10/10</f>
        <v>829.81247678080001</v>
      </c>
      <c r="E14" s="146">
        <f>-'Cashflow - PVC Phenol Propane'!$G$10/10</f>
        <v>829.81247678080001</v>
      </c>
      <c r="F14" s="146">
        <f>-'Cashflow - PVC Phenol Propane'!$G$10/10</f>
        <v>829.81247678080001</v>
      </c>
      <c r="G14" s="146">
        <f>-'Cashflow - PVC Phenol Propane'!$G$10/10</f>
        <v>829.81247678080001</v>
      </c>
      <c r="H14" s="146">
        <f>-'Cashflow - PVC Phenol Propane'!$G$10/10</f>
        <v>829.81247678080001</v>
      </c>
      <c r="I14" s="146">
        <f>-'Cashflow - PVC Phenol Propane'!$G$10/10</f>
        <v>829.81247678080001</v>
      </c>
      <c r="J14" s="146">
        <f>-'Cashflow - PVC Phenol Propane'!$G$10/10</f>
        <v>829.81247678080001</v>
      </c>
      <c r="K14" s="527">
        <f>-'Cashflow - PVC Phenol Propane'!$G$10/10</f>
        <v>829.81247678080001</v>
      </c>
    </row>
    <row r="15" spans="1:11">
      <c r="A15" s="505" t="s">
        <v>454</v>
      </c>
      <c r="B15" s="146">
        <f>B13-B14</f>
        <v>1180.3170817995351</v>
      </c>
      <c r="C15" s="146">
        <f t="shared" ref="C15:K15" si="2">C13-C14</f>
        <v>1905.5070951612088</v>
      </c>
      <c r="D15" s="146">
        <f t="shared" si="2"/>
        <v>2345.3640617627825</v>
      </c>
      <c r="E15" s="146">
        <f t="shared" si="2"/>
        <v>2524.3693206928069</v>
      </c>
      <c r="F15" s="146">
        <f t="shared" si="2"/>
        <v>2715.990777729613</v>
      </c>
      <c r="G15" s="146">
        <f t="shared" si="2"/>
        <v>2917.4054128392281</v>
      </c>
      <c r="H15" s="146">
        <f t="shared" si="2"/>
        <v>3130.6131389813027</v>
      </c>
      <c r="I15" s="146">
        <f t="shared" si="2"/>
        <v>3355.5430051406152</v>
      </c>
      <c r="J15" s="146">
        <f t="shared" si="2"/>
        <v>3591.5102102883989</v>
      </c>
      <c r="K15" s="527">
        <f t="shared" si="2"/>
        <v>3846.5844581631222</v>
      </c>
    </row>
    <row r="16" spans="1:11">
      <c r="A16" s="505" t="s">
        <v>271</v>
      </c>
      <c r="B16" s="146">
        <f>B15*0.2517</f>
        <v>297.08580948894297</v>
      </c>
      <c r="C16" s="146">
        <f t="shared" ref="C16:K16" si="3">C15*0.2517</f>
        <v>479.61613585207618</v>
      </c>
      <c r="D16" s="146">
        <f t="shared" si="3"/>
        <v>590.32813434569232</v>
      </c>
      <c r="E16" s="146">
        <f t="shared" si="3"/>
        <v>635.38375801837947</v>
      </c>
      <c r="F16" s="146">
        <f t="shared" si="3"/>
        <v>683.6148787545435</v>
      </c>
      <c r="G16" s="146">
        <f t="shared" si="3"/>
        <v>734.31094241163362</v>
      </c>
      <c r="H16" s="146">
        <f t="shared" si="3"/>
        <v>787.97532708159383</v>
      </c>
      <c r="I16" s="146">
        <f t="shared" si="3"/>
        <v>844.59017439389277</v>
      </c>
      <c r="J16" s="146">
        <f t="shared" si="3"/>
        <v>903.98311992958998</v>
      </c>
      <c r="K16" s="527">
        <f t="shared" si="3"/>
        <v>968.18530811965775</v>
      </c>
    </row>
    <row r="17" spans="1:11">
      <c r="A17" s="509" t="s">
        <v>272</v>
      </c>
      <c r="B17" s="528">
        <f>B15-B16</f>
        <v>883.2312723105922</v>
      </c>
      <c r="C17" s="528">
        <f t="shared" ref="C17:K17" si="4">C15-C16</f>
        <v>1425.8909593091325</v>
      </c>
      <c r="D17" s="528">
        <f t="shared" si="4"/>
        <v>1755.0359274170901</v>
      </c>
      <c r="E17" s="528">
        <f t="shared" si="4"/>
        <v>1888.9855626744275</v>
      </c>
      <c r="F17" s="528">
        <f t="shared" si="4"/>
        <v>2032.3758989750695</v>
      </c>
      <c r="G17" s="528">
        <f t="shared" si="4"/>
        <v>2183.0944704275944</v>
      </c>
      <c r="H17" s="528">
        <f t="shared" si="4"/>
        <v>2342.637811899709</v>
      </c>
      <c r="I17" s="528">
        <f t="shared" si="4"/>
        <v>2510.9528307467226</v>
      </c>
      <c r="J17" s="528">
        <f t="shared" si="4"/>
        <v>2687.5270903588089</v>
      </c>
      <c r="K17" s="529">
        <f t="shared" si="4"/>
        <v>2878.3991500434645</v>
      </c>
    </row>
  </sheetData>
  <mergeCells count="2">
    <mergeCell ref="A1:K1"/>
    <mergeCell ref="A3:K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5E197-A4C7-4B53-AEB5-5D908ECF89F4}">
  <dimension ref="A1:K17"/>
  <sheetViews>
    <sheetView showGridLines="0" workbookViewId="0">
      <selection activeCell="F19" sqref="F19"/>
    </sheetView>
  </sheetViews>
  <sheetFormatPr defaultRowHeight="15"/>
  <cols>
    <col min="1" max="1" width="21" bestFit="1" customWidth="1"/>
    <col min="2" max="11" width="13.140625" customWidth="1"/>
  </cols>
  <sheetData>
    <row r="1" spans="1:11">
      <c r="A1" s="1107" t="s">
        <v>455</v>
      </c>
      <c r="B1" s="1108"/>
      <c r="C1" s="1108"/>
      <c r="D1" s="1108"/>
      <c r="E1" s="1108"/>
      <c r="F1" s="1108"/>
      <c r="G1" s="1108"/>
      <c r="H1" s="1108"/>
      <c r="I1" s="1108"/>
      <c r="J1" s="1108"/>
      <c r="K1" s="1109"/>
    </row>
    <row r="2" spans="1:11">
      <c r="A2" s="505" t="s">
        <v>259</v>
      </c>
      <c r="B2" s="506">
        <v>0.7</v>
      </c>
      <c r="C2" s="506">
        <v>0.9</v>
      </c>
      <c r="D2" s="506">
        <v>1</v>
      </c>
      <c r="E2" s="506">
        <v>1</v>
      </c>
      <c r="F2" s="506">
        <v>1</v>
      </c>
      <c r="G2" s="506">
        <v>1</v>
      </c>
      <c r="H2" s="506">
        <v>1</v>
      </c>
      <c r="I2" s="506">
        <v>1</v>
      </c>
      <c r="J2" s="506">
        <v>1</v>
      </c>
      <c r="K2" s="507">
        <v>1</v>
      </c>
    </row>
    <row r="3" spans="1:11">
      <c r="A3" s="1110" t="s">
        <v>260</v>
      </c>
      <c r="B3" s="1111"/>
      <c r="C3" s="1111"/>
      <c r="D3" s="1111"/>
      <c r="E3" s="1111"/>
      <c r="F3" s="1111"/>
      <c r="G3" s="1111"/>
      <c r="H3" s="1111"/>
      <c r="I3" s="1111"/>
      <c r="J3" s="1111"/>
      <c r="K3" s="1112"/>
    </row>
    <row r="4" spans="1:11">
      <c r="A4" s="505"/>
      <c r="B4" s="134" t="s">
        <v>261</v>
      </c>
      <c r="C4" s="134" t="s">
        <v>262</v>
      </c>
      <c r="D4" s="134" t="s">
        <v>263</v>
      </c>
      <c r="E4" s="134" t="s">
        <v>264</v>
      </c>
      <c r="F4" s="134" t="s">
        <v>265</v>
      </c>
      <c r="G4" s="134" t="s">
        <v>266</v>
      </c>
      <c r="H4" s="134" t="s">
        <v>267</v>
      </c>
      <c r="I4" s="134" t="s">
        <v>268</v>
      </c>
      <c r="J4" s="134" t="s">
        <v>269</v>
      </c>
      <c r="K4" s="508" t="s">
        <v>270</v>
      </c>
    </row>
    <row r="5" spans="1:11">
      <c r="A5" s="505" t="s">
        <v>300</v>
      </c>
      <c r="B5" s="146">
        <f>'Cashflow - PVC Phenol Propane'!H11</f>
        <v>4461.0919390932513</v>
      </c>
      <c r="C5" s="146">
        <f>'Cashflow - PVC Phenol Propane'!I11</f>
        <v>5681.9324814614465</v>
      </c>
      <c r="D5" s="146">
        <f>'Cashflow - PVC Phenol Propane'!J11</f>
        <v>6385.8926401717081</v>
      </c>
      <c r="E5" s="146">
        <f>'Cashflow - PVC Phenol Propane'!K11</f>
        <v>6743.5121296301859</v>
      </c>
      <c r="F5" s="146">
        <f>'Cashflow - PVC Phenol Propane'!L11</f>
        <v>7121.291440926283</v>
      </c>
      <c r="G5" s="146">
        <f>'Cashflow - PVC Phenol Propane'!M11</f>
        <v>7520.3732140359316</v>
      </c>
      <c r="H5" s="146">
        <f>'Cashflow - PVC Phenol Propane'!N11</f>
        <v>7941.9651395389074</v>
      </c>
      <c r="I5" s="146">
        <f>'Cashflow - PVC Phenol Propane'!O11</f>
        <v>8387.3436751986737</v>
      </c>
      <c r="J5" s="146">
        <f>'Cashflow - PVC Phenol Propane'!P11</f>
        <v>8857.857975493509</v>
      </c>
      <c r="K5" s="527">
        <f>'Cashflow - PVC Phenol Propane'!Q11</f>
        <v>9354.9340463285807</v>
      </c>
    </row>
    <row r="6" spans="1:11">
      <c r="A6" s="505" t="s">
        <v>446</v>
      </c>
      <c r="B6" s="146">
        <f>SUM(B7:B12)</f>
        <v>2450.9623805129163</v>
      </c>
      <c r="C6" s="146">
        <f t="shared" ref="C6:K6" si="0">SUM(C7:C12)</f>
        <v>2946.6129095194378</v>
      </c>
      <c r="D6" s="146">
        <f t="shared" si="0"/>
        <v>3210.7161016281257</v>
      </c>
      <c r="E6" s="146">
        <f t="shared" si="0"/>
        <v>3389.3303321565791</v>
      </c>
      <c r="F6" s="146">
        <f t="shared" si="0"/>
        <v>3575.4881864158701</v>
      </c>
      <c r="G6" s="146">
        <f t="shared" si="0"/>
        <v>3773.1553244159036</v>
      </c>
      <c r="H6" s="146">
        <f t="shared" si="0"/>
        <v>3981.5395237768048</v>
      </c>
      <c r="I6" s="146">
        <f t="shared" si="0"/>
        <v>4201.9881932772587</v>
      </c>
      <c r="J6" s="146">
        <f t="shared" si="0"/>
        <v>4436.5352884243102</v>
      </c>
      <c r="K6" s="527">
        <f t="shared" si="0"/>
        <v>4678.5371113846586</v>
      </c>
    </row>
    <row r="7" spans="1:11">
      <c r="A7" s="52" t="s">
        <v>28</v>
      </c>
      <c r="B7" s="146">
        <f>'Cashflow - PVC Phenol Propane'!H18</f>
        <v>1737.9815164706479</v>
      </c>
      <c r="C7" s="146">
        <f>'Cashflow - PVC Phenol Propane'!I18</f>
        <v>2141.4711350877678</v>
      </c>
      <c r="D7" s="146">
        <f>'Cashflow - PVC Phenol Propane'!J18</f>
        <v>2352.3129350334357</v>
      </c>
      <c r="E7" s="146">
        <f>'Cashflow - PVC Phenol Propane'!K18</f>
        <v>2490.0649396560043</v>
      </c>
      <c r="F7" s="146">
        <f>'Cashflow - PVC Phenol Propane'!L18</f>
        <v>2633.4375274323902</v>
      </c>
      <c r="G7" s="146">
        <f>'Cashflow - PVC Phenol Propane'!M18</f>
        <v>2786.3611016856557</v>
      </c>
      <c r="H7" s="146">
        <f>'Cashflow - PVC Phenol Propane'!N18</f>
        <v>2947.8495441158739</v>
      </c>
      <c r="I7" s="146">
        <f>'Cashflow - PVC Phenol Propane'!O18</f>
        <v>3119.1452291561518</v>
      </c>
      <c r="J7" s="146">
        <f>'Cashflow - PVC Phenol Propane'!P18</f>
        <v>3302.1718684443622</v>
      </c>
      <c r="K7" s="527">
        <f>'Cashflow - PVC Phenol Propane'!Q18</f>
        <v>3490.1700478287239</v>
      </c>
    </row>
    <row r="8" spans="1:11">
      <c r="A8" s="52" t="s">
        <v>328</v>
      </c>
      <c r="B8" s="146">
        <f>'Cashflow - PVC Phenol Propane'!H19</f>
        <v>92.910999999999987</v>
      </c>
      <c r="C8" s="146">
        <f>'Cashflow - PVC Phenol Propane'!I19</f>
        <v>126.76746975749997</v>
      </c>
      <c r="D8" s="146">
        <f>'Cashflow - PVC Phenol Propane'!J19</f>
        <v>149.50201821018209</v>
      </c>
      <c r="E8" s="146">
        <f>'Cashflow - PVC Phenol Propane'!K19</f>
        <v>158.46369243876413</v>
      </c>
      <c r="F8" s="146">
        <f>'Cashflow - PVC Phenol Propane'!L19</f>
        <v>167.91288241888759</v>
      </c>
      <c r="G8" s="146">
        <f>'Cashflow - PVC Phenol Propane'!M19</f>
        <v>177.8202462202492</v>
      </c>
      <c r="H8" s="146">
        <f>'Cashflow - PVC Phenol Propane'!N19</f>
        <v>188.31217420798251</v>
      </c>
      <c r="I8" s="146">
        <f>'Cashflow - PVC Phenol Propane'!O19</f>
        <v>199.42315742277611</v>
      </c>
      <c r="J8" s="146">
        <f>'Cashflow - PVC Phenol Propane'!P19</f>
        <v>211.18972198019213</v>
      </c>
      <c r="K8" s="527">
        <f>'Cashflow - PVC Phenol Propane'!Q19</f>
        <v>223.65054914618941</v>
      </c>
    </row>
    <row r="9" spans="1:11">
      <c r="A9" s="52" t="s">
        <v>29</v>
      </c>
      <c r="B9" s="146">
        <f>'Cashflow - PVC Phenol Propane'!H20</f>
        <v>49.41</v>
      </c>
      <c r="C9" s="146">
        <f>'Cashflow - PVC Phenol Propane'!I20</f>
        <v>51.633449999999996</v>
      </c>
      <c r="D9" s="146">
        <f>'Cashflow - PVC Phenol Propane'!J20</f>
        <v>53.956955249999993</v>
      </c>
      <c r="E9" s="146">
        <f>'Cashflow - PVC Phenol Propane'!K20</f>
        <v>56.385018236249991</v>
      </c>
      <c r="F9" s="146">
        <f>'Cashflow - PVC Phenol Propane'!L20</f>
        <v>58.922344056881229</v>
      </c>
      <c r="G9" s="146">
        <f>'Cashflow - PVC Phenol Propane'!M20</f>
        <v>61.573849539440886</v>
      </c>
      <c r="H9" s="146">
        <f>'Cashflow - PVC Phenol Propane'!N20</f>
        <v>64.344672768715697</v>
      </c>
      <c r="I9" s="146">
        <f>'Cashflow - PVC Phenol Propane'!O20</f>
        <v>67.240183043307923</v>
      </c>
      <c r="J9" s="146">
        <f>'Cashflow - PVC Phenol Propane'!P20</f>
        <v>70.265991280256742</v>
      </c>
      <c r="K9" s="527">
        <f>'Cashflow - PVC Phenol Propane'!Q20</f>
        <v>73.427960887868295</v>
      </c>
    </row>
    <row r="10" spans="1:11">
      <c r="A10" s="52" t="s">
        <v>17</v>
      </c>
      <c r="B10" s="146">
        <f>'Cashflow - PVC Phenol Propane'!H21</f>
        <v>325.90499999999997</v>
      </c>
      <c r="C10" s="146">
        <f>'Cashflow - PVC Phenol Propane'!I21</f>
        <v>360.15924999999993</v>
      </c>
      <c r="D10" s="146">
        <f>'Cashflow - PVC Phenol Propane'!J21</f>
        <v>376.36641624999993</v>
      </c>
      <c r="E10" s="146">
        <f>'Cashflow - PVC Phenol Propane'!K21</f>
        <v>393.30290498124987</v>
      </c>
      <c r="F10" s="146">
        <f>'Cashflow - PVC Phenol Propane'!L21</f>
        <v>411.00153570540601</v>
      </c>
      <c r="G10" s="146">
        <f>'Cashflow - PVC Phenol Propane'!M21</f>
        <v>429.49660481214931</v>
      </c>
      <c r="H10" s="146">
        <f>'Cashflow - PVC Phenol Propane'!N21</f>
        <v>448.82395202869594</v>
      </c>
      <c r="I10" s="146">
        <f>'Cashflow - PVC Phenol Propane'!O21</f>
        <v>469.02102986998727</v>
      </c>
      <c r="J10" s="146">
        <f>'Cashflow - PVC Phenol Propane'!P21</f>
        <v>490.12697621413656</v>
      </c>
      <c r="K10" s="527">
        <f>'Cashflow - PVC Phenol Propane'!Q21</f>
        <v>512.18269014377267</v>
      </c>
    </row>
    <row r="11" spans="1:11">
      <c r="A11" s="52" t="s">
        <v>20</v>
      </c>
      <c r="B11" s="146">
        <f>'Cashflow - PVC Phenol Propane'!H22</f>
        <v>94.911727505903997</v>
      </c>
      <c r="C11" s="146">
        <f>'Cashflow - PVC Phenol Propane'!I22</f>
        <v>102.18101699366967</v>
      </c>
      <c r="D11" s="146">
        <f>'Cashflow - PVC Phenol Propane'!J22</f>
        <v>106.7791627583848</v>
      </c>
      <c r="E11" s="146">
        <f>'Cashflow - PVC Phenol Propane'!K22</f>
        <v>111.58422508251212</v>
      </c>
      <c r="F11" s="146">
        <f>'Cashflow - PVC Phenol Propane'!L22</f>
        <v>116.60551521122512</v>
      </c>
      <c r="G11" s="146">
        <f>'Cashflow - PVC Phenol Propane'!M22</f>
        <v>121.85276339573025</v>
      </c>
      <c r="H11" s="146">
        <f>'Cashflow - PVC Phenol Propane'!N22</f>
        <v>127.33613774853808</v>
      </c>
      <c r="I11" s="146">
        <f>'Cashflow - PVC Phenol Propane'!O22</f>
        <v>133.0662639472223</v>
      </c>
      <c r="J11" s="146">
        <f>'Cashflow - PVC Phenol Propane'!P22</f>
        <v>139.05424582484727</v>
      </c>
      <c r="K11" s="527">
        <f>'Cashflow - PVC Phenol Propane'!Q22</f>
        <v>145.31168688696539</v>
      </c>
    </row>
    <row r="12" spans="1:11">
      <c r="A12" s="52" t="s">
        <v>21</v>
      </c>
      <c r="B12" s="146">
        <f>'Cashflow - PVC Phenol Propane'!H23</f>
        <v>149.84313653636434</v>
      </c>
      <c r="C12" s="146">
        <f>'Cashflow - PVC Phenol Propane'!I23</f>
        <v>164.40058768050073</v>
      </c>
      <c r="D12" s="146">
        <f>'Cashflow - PVC Phenol Propane'!J23</f>
        <v>171.79861412612325</v>
      </c>
      <c r="E12" s="146">
        <f>'Cashflow - PVC Phenol Propane'!K23</f>
        <v>179.52955176179879</v>
      </c>
      <c r="F12" s="146">
        <f>'Cashflow - PVC Phenol Propane'!L23</f>
        <v>187.60838159107971</v>
      </c>
      <c r="G12" s="146">
        <f>'Cashflow - PVC Phenol Propane'!M23</f>
        <v>196.05075876267827</v>
      </c>
      <c r="H12" s="146">
        <f>'Cashflow - PVC Phenol Propane'!N23</f>
        <v>204.87304290699876</v>
      </c>
      <c r="I12" s="146">
        <f>'Cashflow - PVC Phenol Propane'!O23</f>
        <v>214.09232983781371</v>
      </c>
      <c r="J12" s="146">
        <f>'Cashflow - PVC Phenol Propane'!P23</f>
        <v>223.72648468051526</v>
      </c>
      <c r="K12" s="527">
        <f>'Cashflow - PVC Phenol Propane'!Q23</f>
        <v>233.79417649113844</v>
      </c>
    </row>
    <row r="13" spans="1:11">
      <c r="A13" s="505" t="s">
        <v>447</v>
      </c>
      <c r="B13" s="146">
        <f t="shared" ref="B13:K13" si="1">B5-B6</f>
        <v>2010.129558580335</v>
      </c>
      <c r="C13" s="146">
        <f t="shared" si="1"/>
        <v>2735.3195719420087</v>
      </c>
      <c r="D13" s="146">
        <f t="shared" si="1"/>
        <v>3175.1765385435824</v>
      </c>
      <c r="E13" s="146">
        <f t="shared" si="1"/>
        <v>3354.1817974736068</v>
      </c>
      <c r="F13" s="146">
        <f t="shared" si="1"/>
        <v>3545.8032545104129</v>
      </c>
      <c r="G13" s="146">
        <f t="shared" si="1"/>
        <v>3747.217889620028</v>
      </c>
      <c r="H13" s="146">
        <f t="shared" si="1"/>
        <v>3960.4256157621026</v>
      </c>
      <c r="I13" s="146">
        <f t="shared" si="1"/>
        <v>4185.355481921415</v>
      </c>
      <c r="J13" s="146">
        <f t="shared" si="1"/>
        <v>4421.3226870691988</v>
      </c>
      <c r="K13" s="527">
        <f t="shared" si="1"/>
        <v>4676.3969349439221</v>
      </c>
    </row>
    <row r="14" spans="1:11">
      <c r="A14" s="505" t="s">
        <v>453</v>
      </c>
      <c r="B14" s="146">
        <f>-'Cashflow - PVC Phenol Propane'!$G$10/10</f>
        <v>829.81247678080001</v>
      </c>
      <c r="C14" s="146">
        <f>-'Cashflow - PVC Phenol Propane'!$G$10/10</f>
        <v>829.81247678080001</v>
      </c>
      <c r="D14" s="146">
        <f>-'Cashflow - PVC Phenol Propane'!$G$10/10</f>
        <v>829.81247678080001</v>
      </c>
      <c r="E14" s="146">
        <f>-'Cashflow - PVC Phenol Propane'!$G$10/10</f>
        <v>829.81247678080001</v>
      </c>
      <c r="F14" s="146">
        <f>-'Cashflow - PVC Phenol Propane'!$G$10/10</f>
        <v>829.81247678080001</v>
      </c>
      <c r="G14" s="146">
        <f>-'Cashflow - PVC Phenol Propane'!$G$10/10</f>
        <v>829.81247678080001</v>
      </c>
      <c r="H14" s="146">
        <f>-'Cashflow - PVC Phenol Propane'!$G$10/10</f>
        <v>829.81247678080001</v>
      </c>
      <c r="I14" s="146">
        <f>-'Cashflow - PVC Phenol Propane'!$G$10/10</f>
        <v>829.81247678080001</v>
      </c>
      <c r="J14" s="146">
        <f>-'Cashflow - PVC Phenol Propane'!$G$10/10</f>
        <v>829.81247678080001</v>
      </c>
      <c r="K14" s="527">
        <f>-'Cashflow - PVC Phenol Propane'!$G$10/10</f>
        <v>829.81247678080001</v>
      </c>
    </row>
    <row r="15" spans="1:11">
      <c r="A15" s="505" t="s">
        <v>454</v>
      </c>
      <c r="B15" s="146">
        <f>B13-B14</f>
        <v>1180.3170817995351</v>
      </c>
      <c r="C15" s="146">
        <f t="shared" ref="C15:K15" si="2">C13-C14</f>
        <v>1905.5070951612088</v>
      </c>
      <c r="D15" s="146">
        <f t="shared" si="2"/>
        <v>2345.3640617627825</v>
      </c>
      <c r="E15" s="146">
        <f t="shared" si="2"/>
        <v>2524.3693206928069</v>
      </c>
      <c r="F15" s="146">
        <f t="shared" si="2"/>
        <v>2715.990777729613</v>
      </c>
      <c r="G15" s="146">
        <f t="shared" si="2"/>
        <v>2917.4054128392281</v>
      </c>
      <c r="H15" s="146">
        <f t="shared" si="2"/>
        <v>3130.6131389813027</v>
      </c>
      <c r="I15" s="146">
        <f t="shared" si="2"/>
        <v>3355.5430051406152</v>
      </c>
      <c r="J15" s="146">
        <f t="shared" si="2"/>
        <v>3591.5102102883989</v>
      </c>
      <c r="K15" s="527">
        <f t="shared" si="2"/>
        <v>3846.5844581631222</v>
      </c>
    </row>
    <row r="16" spans="1:11">
      <c r="A16" s="505" t="s">
        <v>271</v>
      </c>
      <c r="B16" s="146">
        <f>B15*0.2517</f>
        <v>297.08580948894297</v>
      </c>
      <c r="C16" s="146">
        <f t="shared" ref="C16:K16" si="3">C15*0.2517</f>
        <v>479.61613585207618</v>
      </c>
      <c r="D16" s="146">
        <f t="shared" si="3"/>
        <v>590.32813434569232</v>
      </c>
      <c r="E16" s="146">
        <f t="shared" si="3"/>
        <v>635.38375801837947</v>
      </c>
      <c r="F16" s="146">
        <f t="shared" si="3"/>
        <v>683.6148787545435</v>
      </c>
      <c r="G16" s="146">
        <f t="shared" si="3"/>
        <v>734.31094241163362</v>
      </c>
      <c r="H16" s="146">
        <f t="shared" si="3"/>
        <v>787.97532708159383</v>
      </c>
      <c r="I16" s="146">
        <f t="shared" si="3"/>
        <v>844.59017439389277</v>
      </c>
      <c r="J16" s="146">
        <f t="shared" si="3"/>
        <v>903.98311992958998</v>
      </c>
      <c r="K16" s="527">
        <f t="shared" si="3"/>
        <v>968.18530811965775</v>
      </c>
    </row>
    <row r="17" spans="1:11">
      <c r="A17" s="509" t="s">
        <v>272</v>
      </c>
      <c r="B17" s="528">
        <f>B15-B16</f>
        <v>883.2312723105922</v>
      </c>
      <c r="C17" s="528">
        <f t="shared" ref="C17:K17" si="4">C15-C16</f>
        <v>1425.8909593091325</v>
      </c>
      <c r="D17" s="528">
        <f t="shared" si="4"/>
        <v>1755.0359274170901</v>
      </c>
      <c r="E17" s="528">
        <f t="shared" si="4"/>
        <v>1888.9855626744275</v>
      </c>
      <c r="F17" s="528">
        <f t="shared" si="4"/>
        <v>2032.3758989750695</v>
      </c>
      <c r="G17" s="528">
        <f t="shared" si="4"/>
        <v>2183.0944704275944</v>
      </c>
      <c r="H17" s="528">
        <f t="shared" si="4"/>
        <v>2342.637811899709</v>
      </c>
      <c r="I17" s="528">
        <f t="shared" si="4"/>
        <v>2510.9528307467226</v>
      </c>
      <c r="J17" s="528">
        <f t="shared" si="4"/>
        <v>2687.5270903588089</v>
      </c>
      <c r="K17" s="529">
        <f t="shared" si="4"/>
        <v>2878.3991500434645</v>
      </c>
    </row>
  </sheetData>
  <mergeCells count="2">
    <mergeCell ref="A1:K1"/>
    <mergeCell ref="A3:K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55AEE-C5F7-4EEA-9564-5AB2D240F844}">
  <sheetPr codeName="Sheet35"/>
  <dimension ref="A1:K17"/>
  <sheetViews>
    <sheetView showGridLines="0" workbookViewId="0">
      <selection activeCell="F19" sqref="F19"/>
    </sheetView>
  </sheetViews>
  <sheetFormatPr defaultRowHeight="15"/>
  <cols>
    <col min="1" max="1" width="21" bestFit="1" customWidth="1"/>
    <col min="2" max="11" width="13.140625" customWidth="1"/>
  </cols>
  <sheetData>
    <row r="1" spans="1:11">
      <c r="A1" s="1107" t="s">
        <v>455</v>
      </c>
      <c r="B1" s="1108"/>
      <c r="C1" s="1108"/>
      <c r="D1" s="1108"/>
      <c r="E1" s="1108"/>
      <c r="F1" s="1108"/>
      <c r="G1" s="1108"/>
      <c r="H1" s="1108"/>
      <c r="I1" s="1108"/>
      <c r="J1" s="1108"/>
      <c r="K1" s="1109"/>
    </row>
    <row r="2" spans="1:11">
      <c r="A2" s="505" t="s">
        <v>259</v>
      </c>
      <c r="B2" s="506">
        <v>0.7</v>
      </c>
      <c r="C2" s="506">
        <v>0.9</v>
      </c>
      <c r="D2" s="506">
        <v>1</v>
      </c>
      <c r="E2" s="506">
        <v>1</v>
      </c>
      <c r="F2" s="506">
        <v>1</v>
      </c>
      <c r="G2" s="506">
        <v>1</v>
      </c>
      <c r="H2" s="506">
        <v>1</v>
      </c>
      <c r="I2" s="506">
        <v>1</v>
      </c>
      <c r="J2" s="506">
        <v>1</v>
      </c>
      <c r="K2" s="507">
        <v>1</v>
      </c>
    </row>
    <row r="3" spans="1:11">
      <c r="A3" s="1110" t="s">
        <v>260</v>
      </c>
      <c r="B3" s="1111"/>
      <c r="C3" s="1111"/>
      <c r="D3" s="1111"/>
      <c r="E3" s="1111"/>
      <c r="F3" s="1111"/>
      <c r="G3" s="1111"/>
      <c r="H3" s="1111"/>
      <c r="I3" s="1111"/>
      <c r="J3" s="1111"/>
      <c r="K3" s="1112"/>
    </row>
    <row r="4" spans="1:11">
      <c r="A4" s="505"/>
      <c r="B4" s="134" t="s">
        <v>261</v>
      </c>
      <c r="C4" s="134" t="s">
        <v>262</v>
      </c>
      <c r="D4" s="134" t="s">
        <v>263</v>
      </c>
      <c r="E4" s="134" t="s">
        <v>264</v>
      </c>
      <c r="F4" s="134" t="s">
        <v>265</v>
      </c>
      <c r="G4" s="134" t="s">
        <v>266</v>
      </c>
      <c r="H4" s="134" t="s">
        <v>267</v>
      </c>
      <c r="I4" s="134" t="s">
        <v>268</v>
      </c>
      <c r="J4" s="134" t="s">
        <v>269</v>
      </c>
      <c r="K4" s="508" t="s">
        <v>270</v>
      </c>
    </row>
    <row r="5" spans="1:11">
      <c r="A5" s="505" t="s">
        <v>300</v>
      </c>
      <c r="B5" s="146">
        <f>'Cashflow - PVC Phenol Propane'!H11</f>
        <v>4461.0919390932513</v>
      </c>
      <c r="C5" s="146">
        <f>'Cashflow - PVC Phenol Propane'!I11</f>
        <v>5681.9324814614465</v>
      </c>
      <c r="D5" s="146">
        <f>'Cashflow - PVC Phenol Propane'!J11</f>
        <v>6385.8926401717081</v>
      </c>
      <c r="E5" s="146">
        <f>'Cashflow - PVC Phenol Propane'!K11</f>
        <v>6743.5121296301859</v>
      </c>
      <c r="F5" s="146">
        <f>'Cashflow - PVC Phenol Propane'!L11</f>
        <v>7121.291440926283</v>
      </c>
      <c r="G5" s="146">
        <f>'Cashflow - PVC Phenol Propane'!M11</f>
        <v>7520.3732140359316</v>
      </c>
      <c r="H5" s="146">
        <f>'Cashflow - PVC Phenol Propane'!N11</f>
        <v>7941.9651395389074</v>
      </c>
      <c r="I5" s="146">
        <f>'Cashflow - PVC Phenol Propane'!O11</f>
        <v>8387.3436751986737</v>
      </c>
      <c r="J5" s="146">
        <f>'Cashflow - PVC Phenol Propane'!P11</f>
        <v>8857.857975493509</v>
      </c>
      <c r="K5" s="527">
        <f>'Cashflow - PVC Phenol Propane'!Q11</f>
        <v>9354.9340463285807</v>
      </c>
    </row>
    <row r="6" spans="1:11">
      <c r="A6" s="505" t="s">
        <v>446</v>
      </c>
      <c r="B6" s="146">
        <f>SUM(B7:B12)</f>
        <v>2450.9623805129163</v>
      </c>
      <c r="C6" s="146">
        <f t="shared" ref="C6:K6" si="0">SUM(C7:C12)</f>
        <v>2946.6129095194378</v>
      </c>
      <c r="D6" s="146">
        <f t="shared" si="0"/>
        <v>3210.7161016281257</v>
      </c>
      <c r="E6" s="146">
        <f t="shared" si="0"/>
        <v>3389.3303321565791</v>
      </c>
      <c r="F6" s="146">
        <f t="shared" si="0"/>
        <v>3575.4881864158701</v>
      </c>
      <c r="G6" s="146">
        <f t="shared" si="0"/>
        <v>3773.1553244159036</v>
      </c>
      <c r="H6" s="146">
        <f t="shared" si="0"/>
        <v>3981.5395237768048</v>
      </c>
      <c r="I6" s="146">
        <f t="shared" si="0"/>
        <v>4201.9881932772587</v>
      </c>
      <c r="J6" s="146">
        <f t="shared" si="0"/>
        <v>4436.5352884243102</v>
      </c>
      <c r="K6" s="527">
        <f t="shared" si="0"/>
        <v>4678.5371113846586</v>
      </c>
    </row>
    <row r="7" spans="1:11">
      <c r="A7" s="52" t="s">
        <v>28</v>
      </c>
      <c r="B7" s="146">
        <f>'Cashflow - PVC Phenol Propane'!H18</f>
        <v>1737.9815164706479</v>
      </c>
      <c r="C7" s="146">
        <f>'Cashflow - PVC Phenol Propane'!I18</f>
        <v>2141.4711350877678</v>
      </c>
      <c r="D7" s="146">
        <f>'Cashflow - PVC Phenol Propane'!J18</f>
        <v>2352.3129350334357</v>
      </c>
      <c r="E7" s="146">
        <f>'Cashflow - PVC Phenol Propane'!K18</f>
        <v>2490.0649396560043</v>
      </c>
      <c r="F7" s="146">
        <f>'Cashflow - PVC Phenol Propane'!L18</f>
        <v>2633.4375274323902</v>
      </c>
      <c r="G7" s="146">
        <f>'Cashflow - PVC Phenol Propane'!M18</f>
        <v>2786.3611016856557</v>
      </c>
      <c r="H7" s="146">
        <f>'Cashflow - PVC Phenol Propane'!N18</f>
        <v>2947.8495441158739</v>
      </c>
      <c r="I7" s="146">
        <f>'Cashflow - PVC Phenol Propane'!O18</f>
        <v>3119.1452291561518</v>
      </c>
      <c r="J7" s="146">
        <f>'Cashflow - PVC Phenol Propane'!P18</f>
        <v>3302.1718684443622</v>
      </c>
      <c r="K7" s="527">
        <f>'Cashflow - PVC Phenol Propane'!Q18</f>
        <v>3490.1700478287239</v>
      </c>
    </row>
    <row r="8" spans="1:11">
      <c r="A8" s="52" t="s">
        <v>328</v>
      </c>
      <c r="B8" s="146">
        <f>'Cashflow - PVC Phenol Propane'!H19</f>
        <v>92.910999999999987</v>
      </c>
      <c r="C8" s="146">
        <f>'Cashflow - PVC Phenol Propane'!I19</f>
        <v>126.76746975749997</v>
      </c>
      <c r="D8" s="146">
        <f>'Cashflow - PVC Phenol Propane'!J19</f>
        <v>149.50201821018209</v>
      </c>
      <c r="E8" s="146">
        <f>'Cashflow - PVC Phenol Propane'!K19</f>
        <v>158.46369243876413</v>
      </c>
      <c r="F8" s="146">
        <f>'Cashflow - PVC Phenol Propane'!L19</f>
        <v>167.91288241888759</v>
      </c>
      <c r="G8" s="146">
        <f>'Cashflow - PVC Phenol Propane'!M19</f>
        <v>177.8202462202492</v>
      </c>
      <c r="H8" s="146">
        <f>'Cashflow - PVC Phenol Propane'!N19</f>
        <v>188.31217420798251</v>
      </c>
      <c r="I8" s="146">
        <f>'Cashflow - PVC Phenol Propane'!O19</f>
        <v>199.42315742277611</v>
      </c>
      <c r="J8" s="146">
        <f>'Cashflow - PVC Phenol Propane'!P19</f>
        <v>211.18972198019213</v>
      </c>
      <c r="K8" s="527">
        <f>'Cashflow - PVC Phenol Propane'!Q19</f>
        <v>223.65054914618941</v>
      </c>
    </row>
    <row r="9" spans="1:11">
      <c r="A9" s="52" t="s">
        <v>29</v>
      </c>
      <c r="B9" s="146">
        <f>'Cashflow - PVC Phenol Propane'!H20</f>
        <v>49.41</v>
      </c>
      <c r="C9" s="146">
        <f>'Cashflow - PVC Phenol Propane'!I20</f>
        <v>51.633449999999996</v>
      </c>
      <c r="D9" s="146">
        <f>'Cashflow - PVC Phenol Propane'!J20</f>
        <v>53.956955249999993</v>
      </c>
      <c r="E9" s="146">
        <f>'Cashflow - PVC Phenol Propane'!K20</f>
        <v>56.385018236249991</v>
      </c>
      <c r="F9" s="146">
        <f>'Cashflow - PVC Phenol Propane'!L20</f>
        <v>58.922344056881229</v>
      </c>
      <c r="G9" s="146">
        <f>'Cashflow - PVC Phenol Propane'!M20</f>
        <v>61.573849539440886</v>
      </c>
      <c r="H9" s="146">
        <f>'Cashflow - PVC Phenol Propane'!N20</f>
        <v>64.344672768715697</v>
      </c>
      <c r="I9" s="146">
        <f>'Cashflow - PVC Phenol Propane'!O20</f>
        <v>67.240183043307923</v>
      </c>
      <c r="J9" s="146">
        <f>'Cashflow - PVC Phenol Propane'!P20</f>
        <v>70.265991280256742</v>
      </c>
      <c r="K9" s="527">
        <f>'Cashflow - PVC Phenol Propane'!Q20</f>
        <v>73.427960887868295</v>
      </c>
    </row>
    <row r="10" spans="1:11">
      <c r="A10" s="52" t="s">
        <v>17</v>
      </c>
      <c r="B10" s="146">
        <f>'Cashflow - PVC Phenol Propane'!H21</f>
        <v>325.90499999999997</v>
      </c>
      <c r="C10" s="146">
        <f>'Cashflow - PVC Phenol Propane'!I21</f>
        <v>360.15924999999993</v>
      </c>
      <c r="D10" s="146">
        <f>'Cashflow - PVC Phenol Propane'!J21</f>
        <v>376.36641624999993</v>
      </c>
      <c r="E10" s="146">
        <f>'Cashflow - PVC Phenol Propane'!K21</f>
        <v>393.30290498124987</v>
      </c>
      <c r="F10" s="146">
        <f>'Cashflow - PVC Phenol Propane'!L21</f>
        <v>411.00153570540601</v>
      </c>
      <c r="G10" s="146">
        <f>'Cashflow - PVC Phenol Propane'!M21</f>
        <v>429.49660481214931</v>
      </c>
      <c r="H10" s="146">
        <f>'Cashflow - PVC Phenol Propane'!N21</f>
        <v>448.82395202869594</v>
      </c>
      <c r="I10" s="146">
        <f>'Cashflow - PVC Phenol Propane'!O21</f>
        <v>469.02102986998727</v>
      </c>
      <c r="J10" s="146">
        <f>'Cashflow - PVC Phenol Propane'!P21</f>
        <v>490.12697621413656</v>
      </c>
      <c r="K10" s="527">
        <f>'Cashflow - PVC Phenol Propane'!Q21</f>
        <v>512.18269014377267</v>
      </c>
    </row>
    <row r="11" spans="1:11">
      <c r="A11" s="52" t="s">
        <v>20</v>
      </c>
      <c r="B11" s="146">
        <f>'Cashflow - PVC Phenol Propane'!H22</f>
        <v>94.911727505903997</v>
      </c>
      <c r="C11" s="146">
        <f>'Cashflow - PVC Phenol Propane'!I22</f>
        <v>102.18101699366967</v>
      </c>
      <c r="D11" s="146">
        <f>'Cashflow - PVC Phenol Propane'!J22</f>
        <v>106.7791627583848</v>
      </c>
      <c r="E11" s="146">
        <f>'Cashflow - PVC Phenol Propane'!K22</f>
        <v>111.58422508251212</v>
      </c>
      <c r="F11" s="146">
        <f>'Cashflow - PVC Phenol Propane'!L22</f>
        <v>116.60551521122512</v>
      </c>
      <c r="G11" s="146">
        <f>'Cashflow - PVC Phenol Propane'!M22</f>
        <v>121.85276339573025</v>
      </c>
      <c r="H11" s="146">
        <f>'Cashflow - PVC Phenol Propane'!N22</f>
        <v>127.33613774853808</v>
      </c>
      <c r="I11" s="146">
        <f>'Cashflow - PVC Phenol Propane'!O22</f>
        <v>133.0662639472223</v>
      </c>
      <c r="J11" s="146">
        <f>'Cashflow - PVC Phenol Propane'!P22</f>
        <v>139.05424582484727</v>
      </c>
      <c r="K11" s="527">
        <f>'Cashflow - PVC Phenol Propane'!Q22</f>
        <v>145.31168688696539</v>
      </c>
    </row>
    <row r="12" spans="1:11">
      <c r="A12" s="52" t="s">
        <v>21</v>
      </c>
      <c r="B12" s="146">
        <f>'Cashflow - PVC Phenol Propane'!H23</f>
        <v>149.84313653636434</v>
      </c>
      <c r="C12" s="146">
        <f>'Cashflow - PVC Phenol Propane'!I23</f>
        <v>164.40058768050073</v>
      </c>
      <c r="D12" s="146">
        <f>'Cashflow - PVC Phenol Propane'!J23</f>
        <v>171.79861412612325</v>
      </c>
      <c r="E12" s="146">
        <f>'Cashflow - PVC Phenol Propane'!K23</f>
        <v>179.52955176179879</v>
      </c>
      <c r="F12" s="146">
        <f>'Cashflow - PVC Phenol Propane'!L23</f>
        <v>187.60838159107971</v>
      </c>
      <c r="G12" s="146">
        <f>'Cashflow - PVC Phenol Propane'!M23</f>
        <v>196.05075876267827</v>
      </c>
      <c r="H12" s="146">
        <f>'Cashflow - PVC Phenol Propane'!N23</f>
        <v>204.87304290699876</v>
      </c>
      <c r="I12" s="146">
        <f>'Cashflow - PVC Phenol Propane'!O23</f>
        <v>214.09232983781371</v>
      </c>
      <c r="J12" s="146">
        <f>'Cashflow - PVC Phenol Propane'!P23</f>
        <v>223.72648468051526</v>
      </c>
      <c r="K12" s="527">
        <f>'Cashflow - PVC Phenol Propane'!Q23</f>
        <v>233.79417649113844</v>
      </c>
    </row>
    <row r="13" spans="1:11">
      <c r="A13" s="505" t="s">
        <v>447</v>
      </c>
      <c r="B13" s="146">
        <f t="shared" ref="B13:K13" si="1">B5-B6</f>
        <v>2010.129558580335</v>
      </c>
      <c r="C13" s="146">
        <f t="shared" si="1"/>
        <v>2735.3195719420087</v>
      </c>
      <c r="D13" s="146">
        <f t="shared" si="1"/>
        <v>3175.1765385435824</v>
      </c>
      <c r="E13" s="146">
        <f t="shared" si="1"/>
        <v>3354.1817974736068</v>
      </c>
      <c r="F13" s="146">
        <f t="shared" si="1"/>
        <v>3545.8032545104129</v>
      </c>
      <c r="G13" s="146">
        <f t="shared" si="1"/>
        <v>3747.217889620028</v>
      </c>
      <c r="H13" s="146">
        <f t="shared" si="1"/>
        <v>3960.4256157621026</v>
      </c>
      <c r="I13" s="146">
        <f t="shared" si="1"/>
        <v>4185.355481921415</v>
      </c>
      <c r="J13" s="146">
        <f t="shared" si="1"/>
        <v>4421.3226870691988</v>
      </c>
      <c r="K13" s="527">
        <f t="shared" si="1"/>
        <v>4676.3969349439221</v>
      </c>
    </row>
    <row r="14" spans="1:11">
      <c r="A14" s="505" t="s">
        <v>453</v>
      </c>
      <c r="B14" s="146">
        <f>-'Cashflow - PVC Phenol Propane'!$G$10/10</f>
        <v>829.81247678080001</v>
      </c>
      <c r="C14" s="146">
        <f>-'Cashflow - PVC Phenol Propane'!$G$10/10</f>
        <v>829.81247678080001</v>
      </c>
      <c r="D14" s="146">
        <f>-'Cashflow - PVC Phenol Propane'!$G$10/10</f>
        <v>829.81247678080001</v>
      </c>
      <c r="E14" s="146">
        <f>-'Cashflow - PVC Phenol Propane'!$G$10/10</f>
        <v>829.81247678080001</v>
      </c>
      <c r="F14" s="146">
        <f>-'Cashflow - PVC Phenol Propane'!$G$10/10</f>
        <v>829.81247678080001</v>
      </c>
      <c r="G14" s="146">
        <f>-'Cashflow - PVC Phenol Propane'!$G$10/10</f>
        <v>829.81247678080001</v>
      </c>
      <c r="H14" s="146">
        <f>-'Cashflow - PVC Phenol Propane'!$G$10/10</f>
        <v>829.81247678080001</v>
      </c>
      <c r="I14" s="146">
        <f>-'Cashflow - PVC Phenol Propane'!$G$10/10</f>
        <v>829.81247678080001</v>
      </c>
      <c r="J14" s="146">
        <f>-'Cashflow - PVC Phenol Propane'!$G$10/10</f>
        <v>829.81247678080001</v>
      </c>
      <c r="K14" s="527">
        <f>-'Cashflow - PVC Phenol Propane'!$G$10/10</f>
        <v>829.81247678080001</v>
      </c>
    </row>
    <row r="15" spans="1:11">
      <c r="A15" s="505" t="s">
        <v>454</v>
      </c>
      <c r="B15" s="146">
        <f>B13-B14</f>
        <v>1180.3170817995351</v>
      </c>
      <c r="C15" s="146">
        <f t="shared" ref="C15:K15" si="2">C13-C14</f>
        <v>1905.5070951612088</v>
      </c>
      <c r="D15" s="146">
        <f t="shared" si="2"/>
        <v>2345.3640617627825</v>
      </c>
      <c r="E15" s="146">
        <f t="shared" si="2"/>
        <v>2524.3693206928069</v>
      </c>
      <c r="F15" s="146">
        <f t="shared" si="2"/>
        <v>2715.990777729613</v>
      </c>
      <c r="G15" s="146">
        <f t="shared" si="2"/>
        <v>2917.4054128392281</v>
      </c>
      <c r="H15" s="146">
        <f t="shared" si="2"/>
        <v>3130.6131389813027</v>
      </c>
      <c r="I15" s="146">
        <f t="shared" si="2"/>
        <v>3355.5430051406152</v>
      </c>
      <c r="J15" s="146">
        <f t="shared" si="2"/>
        <v>3591.5102102883989</v>
      </c>
      <c r="K15" s="527">
        <f t="shared" si="2"/>
        <v>3846.5844581631222</v>
      </c>
    </row>
    <row r="16" spans="1:11">
      <c r="A16" s="505" t="s">
        <v>271</v>
      </c>
      <c r="B16" s="146">
        <f>B15*0.2517</f>
        <v>297.08580948894297</v>
      </c>
      <c r="C16" s="146">
        <f t="shared" ref="C16:K16" si="3">C15*0.2517</f>
        <v>479.61613585207618</v>
      </c>
      <c r="D16" s="146">
        <f t="shared" si="3"/>
        <v>590.32813434569232</v>
      </c>
      <c r="E16" s="146">
        <f t="shared" si="3"/>
        <v>635.38375801837947</v>
      </c>
      <c r="F16" s="146">
        <f t="shared" si="3"/>
        <v>683.6148787545435</v>
      </c>
      <c r="G16" s="146">
        <f t="shared" si="3"/>
        <v>734.31094241163362</v>
      </c>
      <c r="H16" s="146">
        <f t="shared" si="3"/>
        <v>787.97532708159383</v>
      </c>
      <c r="I16" s="146">
        <f t="shared" si="3"/>
        <v>844.59017439389277</v>
      </c>
      <c r="J16" s="146">
        <f t="shared" si="3"/>
        <v>903.98311992958998</v>
      </c>
      <c r="K16" s="527">
        <f t="shared" si="3"/>
        <v>968.18530811965775</v>
      </c>
    </row>
    <row r="17" spans="1:11">
      <c r="A17" s="509" t="s">
        <v>272</v>
      </c>
      <c r="B17" s="528">
        <f>B15-B16</f>
        <v>883.2312723105922</v>
      </c>
      <c r="C17" s="528">
        <f t="shared" ref="C17:K17" si="4">C15-C16</f>
        <v>1425.8909593091325</v>
      </c>
      <c r="D17" s="528">
        <f t="shared" si="4"/>
        <v>1755.0359274170901</v>
      </c>
      <c r="E17" s="528">
        <f t="shared" si="4"/>
        <v>1888.9855626744275</v>
      </c>
      <c r="F17" s="528">
        <f t="shared" si="4"/>
        <v>2032.3758989750695</v>
      </c>
      <c r="G17" s="528">
        <f t="shared" si="4"/>
        <v>2183.0944704275944</v>
      </c>
      <c r="H17" s="528">
        <f t="shared" si="4"/>
        <v>2342.637811899709</v>
      </c>
      <c r="I17" s="528">
        <f t="shared" si="4"/>
        <v>2510.9528307467226</v>
      </c>
      <c r="J17" s="528">
        <f t="shared" si="4"/>
        <v>2687.5270903588089</v>
      </c>
      <c r="K17" s="529">
        <f t="shared" si="4"/>
        <v>2878.3991500434645</v>
      </c>
    </row>
  </sheetData>
  <mergeCells count="2">
    <mergeCell ref="A1:K1"/>
    <mergeCell ref="A3:K3"/>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90657-03AD-4A2B-819D-A3946BABD386}">
  <sheetPr codeName="Sheet36"/>
  <dimension ref="A1:G25"/>
  <sheetViews>
    <sheetView showGridLines="0" topLeftCell="A5" workbookViewId="0">
      <selection activeCell="C16" sqref="B16:C16"/>
    </sheetView>
  </sheetViews>
  <sheetFormatPr defaultRowHeight="15"/>
  <cols>
    <col min="2" max="2" width="63.7109375" bestFit="1" customWidth="1"/>
    <col min="3" max="3" width="18.85546875" customWidth="1"/>
    <col min="4" max="4" width="18.140625" customWidth="1"/>
  </cols>
  <sheetData>
    <row r="1" spans="2:7">
      <c r="B1" s="1107" t="s">
        <v>589</v>
      </c>
      <c r="C1" s="1108"/>
      <c r="D1" s="1108"/>
      <c r="E1" s="1108"/>
      <c r="F1" s="1108"/>
      <c r="G1" s="1109"/>
    </row>
    <row r="2" spans="2:7">
      <c r="B2" s="505" t="s">
        <v>259</v>
      </c>
      <c r="D2" s="506">
        <v>1</v>
      </c>
      <c r="E2" s="506">
        <v>1</v>
      </c>
      <c r="F2" s="506">
        <v>1</v>
      </c>
      <c r="G2" s="507">
        <v>1</v>
      </c>
    </row>
    <row r="3" spans="2:7">
      <c r="B3" s="1110" t="s">
        <v>260</v>
      </c>
      <c r="C3" s="1111"/>
      <c r="G3" s="594"/>
    </row>
    <row r="4" spans="2:7">
      <c r="B4" s="505"/>
      <c r="C4" s="134" t="s">
        <v>264</v>
      </c>
      <c r="D4" s="845">
        <v>1</v>
      </c>
      <c r="E4" s="845">
        <v>2</v>
      </c>
      <c r="F4" s="845">
        <v>3</v>
      </c>
      <c r="G4" s="846">
        <v>4</v>
      </c>
    </row>
    <row r="5" spans="2:7">
      <c r="B5" s="505" t="s">
        <v>300</v>
      </c>
      <c r="C5" s="146">
        <f>'Cashflow - PVC Phenol Propane'!K11</f>
        <v>6743.5121296301859</v>
      </c>
      <c r="D5" s="146">
        <f>C5-C5*0.11</f>
        <v>6001.7257953708649</v>
      </c>
      <c r="E5" s="146">
        <f>C5</f>
        <v>6743.5121296301859</v>
      </c>
      <c r="F5" s="146">
        <f>C5-C5*0.05</f>
        <v>6406.3365231486769</v>
      </c>
      <c r="G5" s="527">
        <f>C5</f>
        <v>6743.5121296301859</v>
      </c>
    </row>
    <row r="6" spans="2:7">
      <c r="B6" s="505" t="s">
        <v>446</v>
      </c>
      <c r="C6" s="146">
        <f t="shared" ref="C6:F6" si="0">SUM(C7:C12)</f>
        <v>3389.3303321565791</v>
      </c>
      <c r="D6" s="146">
        <f t="shared" si="0"/>
        <v>3389.3303321565791</v>
      </c>
      <c r="E6" s="146">
        <f t="shared" si="0"/>
        <v>3800.1910471998199</v>
      </c>
      <c r="F6" s="146">
        <f t="shared" si="0"/>
        <v>3613.4361767256196</v>
      </c>
      <c r="G6" s="527">
        <f>C6+C6*0.145</f>
        <v>3880.7832303192831</v>
      </c>
    </row>
    <row r="7" spans="2:7">
      <c r="B7" s="52" t="s">
        <v>28</v>
      </c>
      <c r="C7" s="146">
        <f>'Cashflow - PVC Phenol Propane'!K18</f>
        <v>2490.0649396560043</v>
      </c>
      <c r="D7" s="146">
        <f>C7</f>
        <v>2490.0649396560043</v>
      </c>
      <c r="E7" s="146">
        <f>C7+C7*0.165</f>
        <v>2900.9256546992451</v>
      </c>
      <c r="F7" s="146">
        <f>C7+C7*0.09</f>
        <v>2714.1707842250448</v>
      </c>
      <c r="G7" s="527">
        <f>C7</f>
        <v>2490.0649396560043</v>
      </c>
    </row>
    <row r="8" spans="2:7">
      <c r="B8" s="52" t="s">
        <v>328</v>
      </c>
      <c r="C8" s="146">
        <f>'Cashflow - PVC Phenol Propane'!K19</f>
        <v>158.46369243876413</v>
      </c>
      <c r="D8" s="146">
        <f t="shared" ref="D8:D12" si="1">C8</f>
        <v>158.46369243876413</v>
      </c>
      <c r="E8" s="146">
        <f>C8</f>
        <v>158.46369243876413</v>
      </c>
      <c r="F8" s="146">
        <f>C8</f>
        <v>158.46369243876413</v>
      </c>
      <c r="G8" s="527">
        <f t="shared" ref="G8:G12" si="2">C8</f>
        <v>158.46369243876413</v>
      </c>
    </row>
    <row r="9" spans="2:7">
      <c r="B9" s="52" t="s">
        <v>29</v>
      </c>
      <c r="C9" s="146">
        <f>'Cashflow - PVC Phenol Propane'!K20</f>
        <v>56.385018236249991</v>
      </c>
      <c r="D9" s="146">
        <f t="shared" si="1"/>
        <v>56.385018236249991</v>
      </c>
      <c r="E9" s="146">
        <f>C9</f>
        <v>56.385018236249991</v>
      </c>
      <c r="F9" s="146">
        <f>C9</f>
        <v>56.385018236249991</v>
      </c>
      <c r="G9" s="527">
        <f t="shared" si="2"/>
        <v>56.385018236249991</v>
      </c>
    </row>
    <row r="10" spans="2:7">
      <c r="B10" s="52" t="s">
        <v>17</v>
      </c>
      <c r="C10" s="146">
        <f>'Cashflow - PVC Phenol Propane'!K21</f>
        <v>393.30290498124987</v>
      </c>
      <c r="D10" s="146">
        <f t="shared" si="1"/>
        <v>393.30290498124987</v>
      </c>
      <c r="E10" s="146">
        <f>C10</f>
        <v>393.30290498124987</v>
      </c>
      <c r="F10" s="146">
        <f>C10</f>
        <v>393.30290498124987</v>
      </c>
      <c r="G10" s="527">
        <f t="shared" si="2"/>
        <v>393.30290498124987</v>
      </c>
    </row>
    <row r="11" spans="2:7">
      <c r="B11" s="52" t="s">
        <v>20</v>
      </c>
      <c r="C11" s="146">
        <f>'Cashflow - PVC Phenol Propane'!K22</f>
        <v>111.58422508251212</v>
      </c>
      <c r="D11" s="146">
        <f t="shared" si="1"/>
        <v>111.58422508251212</v>
      </c>
      <c r="E11" s="146">
        <f>C11</f>
        <v>111.58422508251212</v>
      </c>
      <c r="F11" s="146">
        <f>C11</f>
        <v>111.58422508251212</v>
      </c>
      <c r="G11" s="527">
        <f t="shared" si="2"/>
        <v>111.58422508251212</v>
      </c>
    </row>
    <row r="12" spans="2:7">
      <c r="B12" s="52" t="s">
        <v>21</v>
      </c>
      <c r="C12" s="146">
        <f>'Cashflow - PVC Phenol Propane'!K23</f>
        <v>179.52955176179879</v>
      </c>
      <c r="D12" s="146">
        <f t="shared" si="1"/>
        <v>179.52955176179879</v>
      </c>
      <c r="E12" s="146">
        <f>C12</f>
        <v>179.52955176179879</v>
      </c>
      <c r="F12" s="146">
        <f>C12</f>
        <v>179.52955176179879</v>
      </c>
      <c r="G12" s="527">
        <f t="shared" si="2"/>
        <v>179.52955176179879</v>
      </c>
    </row>
    <row r="13" spans="2:7">
      <c r="B13" s="505" t="s">
        <v>447</v>
      </c>
      <c r="C13" s="146">
        <f t="shared" ref="C13:G13" si="3">C5-C6</f>
        <v>3354.1817974736068</v>
      </c>
      <c r="D13" s="146">
        <f t="shared" si="3"/>
        <v>2612.3954632142859</v>
      </c>
      <c r="E13" s="146">
        <f t="shared" si="3"/>
        <v>2943.321082430366</v>
      </c>
      <c r="F13" s="146">
        <f t="shared" si="3"/>
        <v>2792.9003464230573</v>
      </c>
      <c r="G13" s="527">
        <f t="shared" si="3"/>
        <v>2862.7288993109028</v>
      </c>
    </row>
    <row r="14" spans="2:7">
      <c r="B14" s="505" t="s">
        <v>453</v>
      </c>
      <c r="C14" s="146">
        <f>' Profitabilty_PVC Phenol'!B14</f>
        <v>829.81247678080001</v>
      </c>
      <c r="D14" s="146">
        <f>C14</f>
        <v>829.81247678080001</v>
      </c>
      <c r="E14" s="146">
        <f>C14</f>
        <v>829.81247678080001</v>
      </c>
      <c r="F14" s="146">
        <f>C14</f>
        <v>829.81247678080001</v>
      </c>
      <c r="G14" s="527">
        <f>C14</f>
        <v>829.81247678080001</v>
      </c>
    </row>
    <row r="15" spans="2:7">
      <c r="B15" s="505" t="s">
        <v>454</v>
      </c>
      <c r="C15" s="146">
        <f t="shared" ref="C15:G15" si="4">C13-C14</f>
        <v>2524.3693206928069</v>
      </c>
      <c r="D15" s="146">
        <f t="shared" si="4"/>
        <v>1782.582986433486</v>
      </c>
      <c r="E15" s="146">
        <f t="shared" si="4"/>
        <v>2113.5086056495661</v>
      </c>
      <c r="F15" s="146">
        <f t="shared" si="4"/>
        <v>1963.0878696422574</v>
      </c>
      <c r="G15" s="527">
        <f t="shared" si="4"/>
        <v>2032.9164225301029</v>
      </c>
    </row>
    <row r="16" spans="2:7">
      <c r="B16" s="505" t="s">
        <v>271</v>
      </c>
      <c r="C16" s="146">
        <f t="shared" ref="C16:G16" si="5">C15*0.2517</f>
        <v>635.38375801837947</v>
      </c>
      <c r="D16" s="146">
        <f t="shared" si="5"/>
        <v>448.67613768530839</v>
      </c>
      <c r="E16" s="146">
        <f t="shared" si="5"/>
        <v>531.97011604199577</v>
      </c>
      <c r="F16" s="146">
        <f t="shared" si="5"/>
        <v>494.10921678895613</v>
      </c>
      <c r="G16" s="527">
        <f t="shared" si="5"/>
        <v>511.68506355082684</v>
      </c>
    </row>
    <row r="17" spans="1:7">
      <c r="B17" s="509" t="s">
        <v>272</v>
      </c>
      <c r="C17" s="528">
        <f t="shared" ref="C17:G17" si="6">C15-C16</f>
        <v>1888.9855626744275</v>
      </c>
      <c r="D17" s="528">
        <f t="shared" si="6"/>
        <v>1333.9068487481777</v>
      </c>
      <c r="E17" s="528">
        <f t="shared" si="6"/>
        <v>1581.5384896075702</v>
      </c>
      <c r="F17" s="528">
        <f t="shared" si="6"/>
        <v>1468.9786528533014</v>
      </c>
      <c r="G17" s="529">
        <f t="shared" si="6"/>
        <v>1521.2313589792761</v>
      </c>
    </row>
    <row r="18" spans="1:7">
      <c r="D18" s="597"/>
      <c r="E18" s="597"/>
      <c r="F18" s="597"/>
      <c r="G18" s="597"/>
    </row>
    <row r="19" spans="1:7">
      <c r="A19" s="526" t="s">
        <v>117</v>
      </c>
      <c r="B19" s="1113" t="s">
        <v>368</v>
      </c>
      <c r="C19" s="1114"/>
      <c r="D19" s="1114"/>
    </row>
    <row r="20" spans="1:7">
      <c r="A20" s="523"/>
      <c r="B20" s="343" t="s">
        <v>362</v>
      </c>
      <c r="C20" s="344" t="s">
        <v>272</v>
      </c>
      <c r="D20" s="601" t="s">
        <v>498</v>
      </c>
    </row>
    <row r="21" spans="1:7">
      <c r="A21" s="524"/>
      <c r="B21" s="345" t="s">
        <v>497</v>
      </c>
      <c r="C21" s="598">
        <f>C17</f>
        <v>1888.9855626744275</v>
      </c>
      <c r="D21" s="602" t="s">
        <v>499</v>
      </c>
    </row>
    <row r="22" spans="1:7">
      <c r="A22" s="524">
        <v>1</v>
      </c>
      <c r="B22" s="345" t="s">
        <v>364</v>
      </c>
      <c r="C22" s="599">
        <f>D17</f>
        <v>1333.9068487481777</v>
      </c>
      <c r="D22" s="963">
        <f>(C22-$C$21)/$C$21</f>
        <v>-0.29385016216871918</v>
      </c>
    </row>
    <row r="23" spans="1:7">
      <c r="A23" s="524">
        <v>2</v>
      </c>
      <c r="B23" s="345" t="s">
        <v>365</v>
      </c>
      <c r="C23" s="599">
        <f>E17</f>
        <v>1581.5384896075702</v>
      </c>
      <c r="D23" s="963">
        <f t="shared" ref="D23:D25" si="7">(C23-$C$21)/$C$21</f>
        <v>-0.16275776752447668</v>
      </c>
    </row>
    <row r="24" spans="1:7">
      <c r="A24" s="524">
        <v>3</v>
      </c>
      <c r="B24" s="345" t="s">
        <v>366</v>
      </c>
      <c r="C24" s="599">
        <f>F17</f>
        <v>1468.9786528533014</v>
      </c>
      <c r="D24" s="963">
        <f t="shared" si="7"/>
        <v>-0.22234521963549575</v>
      </c>
    </row>
    <row r="25" spans="1:7">
      <c r="A25" s="525">
        <v>4</v>
      </c>
      <c r="B25" s="349" t="s">
        <v>367</v>
      </c>
      <c r="C25" s="600">
        <f>G17</f>
        <v>1521.2313589792761</v>
      </c>
      <c r="D25" s="964">
        <f t="shared" si="7"/>
        <v>-0.1946834380112914</v>
      </c>
    </row>
  </sheetData>
  <mergeCells count="3">
    <mergeCell ref="B1:G1"/>
    <mergeCell ref="B3:C3"/>
    <mergeCell ref="B19:D19"/>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3533E-2699-4C68-9F3F-922BCF389B3F}">
  <sheetPr codeName="Sheet32"/>
  <dimension ref="A1:AA65"/>
  <sheetViews>
    <sheetView showGridLines="0" zoomScaleNormal="100" workbookViewId="0">
      <pane ySplit="8" topLeftCell="A9" activePane="bottomLeft" state="frozen"/>
      <selection activeCell="E28" sqref="E28"/>
      <selection pane="bottomLeft" activeCell="E20" sqref="E20"/>
    </sheetView>
  </sheetViews>
  <sheetFormatPr defaultColWidth="8.7109375" defaultRowHeight="12.75"/>
  <cols>
    <col min="1" max="1" width="8.85546875" style="58" bestFit="1" customWidth="1"/>
    <col min="2" max="2" width="60" style="1" bestFit="1" customWidth="1"/>
    <col min="3" max="3" width="20" style="1" bestFit="1" customWidth="1"/>
    <col min="4" max="4" width="8.140625" style="1" customWidth="1"/>
    <col min="5" max="5" width="20" style="1" bestFit="1" customWidth="1"/>
    <col min="6" max="6" width="12.28515625" style="1" customWidth="1"/>
    <col min="7" max="7" width="11.140625" style="1" customWidth="1"/>
    <col min="8" max="8" width="18" style="32" bestFit="1" customWidth="1"/>
    <col min="9" max="9" width="17.140625" style="32" customWidth="1"/>
    <col min="10" max="10" width="18.5703125" style="32" bestFit="1" customWidth="1"/>
    <col min="11" max="11" width="18.7109375" style="32" bestFit="1" customWidth="1"/>
    <col min="12" max="12" width="18.5703125" style="32" bestFit="1" customWidth="1"/>
    <col min="13" max="17" width="18.7109375" style="32" bestFit="1" customWidth="1"/>
    <col min="18" max="18" width="15" style="32" customWidth="1"/>
    <col min="19" max="19" width="16.28515625" style="32" customWidth="1"/>
    <col min="20" max="20" width="16.42578125" style="32" customWidth="1"/>
    <col min="21" max="21" width="18" style="32" customWidth="1"/>
    <col min="22" max="22" width="18.7109375" style="32" customWidth="1"/>
    <col min="23" max="23" width="19.140625" style="32" customWidth="1"/>
    <col min="24" max="24" width="20.42578125" style="32" customWidth="1"/>
    <col min="25" max="25" width="19" style="32" customWidth="1"/>
    <col min="26" max="26" width="19.28515625" style="32" customWidth="1"/>
    <col min="27" max="16384" width="8.7109375" style="1"/>
  </cols>
  <sheetData>
    <row r="1" spans="1:26" ht="21" customHeight="1">
      <c r="A1" s="1089" t="str">
        <f>'Opex PVC'!A1</f>
        <v>Capacity for 350 KTPA PVC Plant using Captive Ethylene</v>
      </c>
      <c r="B1" s="1090"/>
      <c r="C1" s="1090"/>
      <c r="D1" s="1090"/>
      <c r="E1" s="1090"/>
      <c r="F1" s="1090"/>
      <c r="G1" s="620"/>
      <c r="H1" s="620"/>
      <c r="I1" s="620"/>
      <c r="J1" s="620"/>
      <c r="K1" s="620"/>
      <c r="L1" s="620"/>
      <c r="M1" s="620"/>
      <c r="N1" s="620"/>
      <c r="O1" s="620"/>
      <c r="P1" s="620"/>
      <c r="Q1" s="620"/>
      <c r="R1" s="620"/>
      <c r="S1" s="620"/>
      <c r="T1" s="620"/>
      <c r="U1" s="620"/>
      <c r="V1" s="620"/>
      <c r="W1" s="620"/>
      <c r="X1" s="620"/>
      <c r="Y1" s="620"/>
      <c r="Z1" s="620"/>
    </row>
    <row r="2" spans="1:26" s="167" customFormat="1" ht="15" customHeight="1">
      <c r="A2" s="1089" t="s">
        <v>445</v>
      </c>
      <c r="B2" s="1090"/>
      <c r="C2" s="166">
        <v>1</v>
      </c>
      <c r="D2" s="166">
        <v>2</v>
      </c>
      <c r="E2" s="166">
        <v>3</v>
      </c>
      <c r="F2" s="166">
        <v>4</v>
      </c>
      <c r="G2" s="166"/>
      <c r="H2" s="166">
        <v>5</v>
      </c>
      <c r="I2" s="166">
        <v>6</v>
      </c>
      <c r="J2" s="166">
        <v>7</v>
      </c>
      <c r="K2" s="166">
        <v>8</v>
      </c>
      <c r="L2" s="166">
        <v>9</v>
      </c>
      <c r="M2" s="166">
        <v>10</v>
      </c>
      <c r="N2" s="166">
        <v>11</v>
      </c>
      <c r="O2" s="166">
        <v>12</v>
      </c>
      <c r="P2" s="166">
        <v>13</v>
      </c>
      <c r="Q2" s="166">
        <v>14</v>
      </c>
      <c r="R2" s="166">
        <v>15</v>
      </c>
      <c r="S2" s="166">
        <v>16</v>
      </c>
      <c r="T2" s="166">
        <v>17</v>
      </c>
      <c r="U2" s="166">
        <v>18</v>
      </c>
      <c r="V2" s="166">
        <v>19</v>
      </c>
      <c r="W2" s="166">
        <v>20</v>
      </c>
      <c r="X2" s="166">
        <v>21</v>
      </c>
      <c r="Y2" s="166">
        <v>22</v>
      </c>
      <c r="Z2" s="166">
        <v>23</v>
      </c>
    </row>
    <row r="3" spans="1:26" s="167" customFormat="1" ht="15" customHeight="1">
      <c r="A3" s="1098" t="s">
        <v>223</v>
      </c>
      <c r="B3" s="1099"/>
      <c r="C3" s="158"/>
      <c r="D3" s="158"/>
      <c r="E3" s="158"/>
      <c r="F3" s="158"/>
      <c r="G3" s="158"/>
      <c r="H3" s="168">
        <v>0.7</v>
      </c>
      <c r="I3" s="168">
        <v>0.9</v>
      </c>
      <c r="J3" s="168">
        <v>1</v>
      </c>
      <c r="K3" s="168">
        <v>1</v>
      </c>
      <c r="L3" s="168">
        <v>1</v>
      </c>
      <c r="M3" s="168">
        <v>1</v>
      </c>
      <c r="N3" s="168">
        <v>1</v>
      </c>
      <c r="O3" s="168">
        <v>1</v>
      </c>
      <c r="P3" s="168">
        <v>1</v>
      </c>
      <c r="Q3" s="168">
        <v>1</v>
      </c>
      <c r="R3" s="168">
        <v>1</v>
      </c>
      <c r="S3" s="168">
        <v>1</v>
      </c>
      <c r="T3" s="168">
        <v>1</v>
      </c>
      <c r="U3" s="168">
        <v>1</v>
      </c>
      <c r="V3" s="168">
        <v>1</v>
      </c>
      <c r="W3" s="168">
        <v>1</v>
      </c>
      <c r="X3" s="168">
        <v>1</v>
      </c>
      <c r="Y3" s="168">
        <v>1</v>
      </c>
      <c r="Z3" s="168">
        <v>1</v>
      </c>
    </row>
    <row r="4" spans="1:26" ht="15" customHeight="1">
      <c r="A4" s="1096" t="s">
        <v>24</v>
      </c>
      <c r="B4" s="1097"/>
      <c r="C4" s="169"/>
      <c r="D4" s="169"/>
      <c r="E4" s="169"/>
      <c r="F4" s="169"/>
      <c r="G4" s="170"/>
      <c r="H4" s="1088" t="s">
        <v>25</v>
      </c>
      <c r="I4" s="1088"/>
      <c r="J4" s="1088"/>
      <c r="K4" s="1088"/>
      <c r="L4" s="1088"/>
      <c r="M4" s="1088"/>
      <c r="N4" s="1088"/>
      <c r="O4" s="1088"/>
      <c r="P4" s="1088"/>
      <c r="Q4" s="1088"/>
      <c r="R4" s="1088" t="s">
        <v>25</v>
      </c>
      <c r="S4" s="1088"/>
      <c r="T4" s="1088"/>
      <c r="U4" s="1088"/>
      <c r="V4" s="1088"/>
      <c r="W4" s="1088"/>
      <c r="X4" s="1088"/>
      <c r="Y4" s="1088"/>
      <c r="Z4" s="1088"/>
    </row>
    <row r="5" spans="1:26">
      <c r="A5" s="239"/>
      <c r="B5" s="1091"/>
      <c r="C5" s="238">
        <v>2023</v>
      </c>
      <c r="D5" s="238">
        <v>2024</v>
      </c>
      <c r="E5" s="238">
        <v>2025</v>
      </c>
      <c r="F5" s="238">
        <v>2026</v>
      </c>
      <c r="G5" s="238" t="s">
        <v>151</v>
      </c>
      <c r="H5" s="238">
        <v>2027</v>
      </c>
      <c r="I5" s="238">
        <v>2028</v>
      </c>
      <c r="J5" s="238">
        <v>2029</v>
      </c>
      <c r="K5" s="238">
        <v>2030</v>
      </c>
      <c r="L5" s="238">
        <v>2031</v>
      </c>
      <c r="M5" s="238">
        <v>2032</v>
      </c>
      <c r="N5" s="238">
        <v>2032</v>
      </c>
      <c r="O5" s="238">
        <v>2033</v>
      </c>
      <c r="P5" s="238">
        <v>2034</v>
      </c>
      <c r="Q5" s="238">
        <v>2035</v>
      </c>
      <c r="R5" s="238">
        <v>2036</v>
      </c>
      <c r="S5" s="238">
        <v>2037</v>
      </c>
      <c r="T5" s="238">
        <v>2038</v>
      </c>
      <c r="U5" s="238">
        <v>2039</v>
      </c>
      <c r="V5" s="238">
        <v>2040</v>
      </c>
      <c r="W5" s="238">
        <v>2041</v>
      </c>
      <c r="X5" s="238">
        <v>2042</v>
      </c>
      <c r="Y5" s="238">
        <v>2043</v>
      </c>
      <c r="Z5" s="238">
        <v>2044</v>
      </c>
    </row>
    <row r="6" spans="1:26">
      <c r="A6" s="240"/>
      <c r="B6" s="1092"/>
      <c r="C6" s="172">
        <v>0.05</v>
      </c>
      <c r="D6" s="172">
        <v>0.25</v>
      </c>
      <c r="E6" s="172">
        <v>0.35</v>
      </c>
      <c r="F6" s="172">
        <v>0.35</v>
      </c>
      <c r="G6" s="173"/>
      <c r="H6" s="174"/>
      <c r="I6" s="174"/>
      <c r="J6" s="174"/>
      <c r="K6" s="174"/>
      <c r="L6" s="174"/>
      <c r="M6" s="174"/>
      <c r="N6" s="175"/>
      <c r="O6" s="174"/>
      <c r="P6" s="175"/>
      <c r="Q6" s="174"/>
      <c r="R6" s="176"/>
      <c r="S6" s="176"/>
      <c r="T6" s="176"/>
      <c r="U6" s="176"/>
      <c r="V6" s="176"/>
      <c r="W6" s="176"/>
      <c r="X6" s="176"/>
      <c r="Y6" s="176"/>
      <c r="Z6" s="176"/>
    </row>
    <row r="7" spans="1:26" ht="19.5" customHeight="1">
      <c r="A7" s="1094" t="s">
        <v>243</v>
      </c>
      <c r="B7" s="1095"/>
      <c r="C7" s="1095"/>
      <c r="D7" s="1095"/>
      <c r="E7" s="1095"/>
      <c r="F7" s="1095"/>
      <c r="G7" s="1095"/>
      <c r="H7" s="177"/>
      <c r="I7" s="177"/>
      <c r="J7" s="177"/>
      <c r="K7" s="177"/>
      <c r="L7" s="177"/>
      <c r="M7" s="177"/>
      <c r="N7" s="178"/>
      <c r="O7" s="177"/>
      <c r="P7" s="178"/>
      <c r="Q7" s="177"/>
      <c r="R7" s="179"/>
      <c r="S7" s="179"/>
      <c r="T7" s="179"/>
      <c r="U7" s="179"/>
      <c r="V7" s="179"/>
      <c r="W7" s="179"/>
      <c r="X7" s="179"/>
      <c r="Y7" s="179"/>
      <c r="Z7" s="179"/>
    </row>
    <row r="8" spans="1:26" ht="21.75" customHeight="1">
      <c r="A8" s="180">
        <v>1</v>
      </c>
      <c r="B8" s="181" t="s">
        <v>241</v>
      </c>
      <c r="C8" s="182">
        <f>ROUND($G8*C$6,2)</f>
        <v>207.97</v>
      </c>
      <c r="D8" s="182">
        <f>ROUND($G8*D$6,2)</f>
        <v>1039.8599999999999</v>
      </c>
      <c r="E8" s="182">
        <f>ROUND($G8*E$6,2)</f>
        <v>1455.81</v>
      </c>
      <c r="F8" s="182">
        <f>ROUND($G8*F$6,2)</f>
        <v>1455.81</v>
      </c>
      <c r="G8" s="244">
        <f>Capex!D21</f>
        <v>4159.4497678079997</v>
      </c>
      <c r="H8" s="183"/>
      <c r="I8" s="184"/>
      <c r="J8" s="183"/>
      <c r="K8" s="183"/>
      <c r="L8" s="183"/>
      <c r="M8" s="183"/>
      <c r="N8" s="185"/>
      <c r="O8" s="183"/>
      <c r="P8" s="183"/>
      <c r="Q8" s="183"/>
      <c r="R8" s="186"/>
      <c r="S8" s="186"/>
      <c r="T8" s="186"/>
      <c r="U8" s="186"/>
      <c r="V8" s="186"/>
      <c r="W8" s="186"/>
      <c r="X8" s="186"/>
      <c r="Y8" s="186"/>
      <c r="Z8" s="186"/>
    </row>
    <row r="9" spans="1:26" s="167" customFormat="1" ht="25.5" customHeight="1">
      <c r="A9" s="187"/>
      <c r="B9" s="188" t="s">
        <v>242</v>
      </c>
      <c r="C9" s="189">
        <f>SUM(C8:C8)</f>
        <v>207.97</v>
      </c>
      <c r="D9" s="189">
        <f>SUM(D8:D8)</f>
        <v>1039.8599999999999</v>
      </c>
      <c r="E9" s="189">
        <f>SUM(E8:E8)</f>
        <v>1455.81</v>
      </c>
      <c r="F9" s="189">
        <f>SUM(F8:F8)</f>
        <v>1455.81</v>
      </c>
      <c r="G9" s="190">
        <f>-G8</f>
        <v>-4159.4497678079997</v>
      </c>
      <c r="H9" s="191"/>
      <c r="I9" s="191"/>
      <c r="J9" s="191"/>
      <c r="K9" s="191"/>
      <c r="L9" s="191"/>
      <c r="M9" s="191"/>
      <c r="N9" s="192"/>
      <c r="O9" s="192"/>
      <c r="P9" s="192"/>
      <c r="Q9" s="192"/>
      <c r="R9" s="193"/>
      <c r="S9" s="193"/>
      <c r="T9" s="193"/>
      <c r="U9" s="193"/>
      <c r="V9" s="193"/>
      <c r="W9" s="193"/>
      <c r="X9" s="193"/>
      <c r="Y9" s="193"/>
      <c r="Z9" s="193"/>
    </row>
    <row r="10" spans="1:26">
      <c r="A10" s="194">
        <v>2</v>
      </c>
      <c r="B10" s="195" t="s">
        <v>27</v>
      </c>
      <c r="C10" s="195"/>
      <c r="D10" s="195"/>
      <c r="E10" s="195"/>
      <c r="F10" s="195"/>
      <c r="G10" s="196"/>
      <c r="H10" s="197">
        <f>H11</f>
        <v>3842.6360000000004</v>
      </c>
      <c r="I10" s="197">
        <f t="shared" ref="I10:Z10" si="0">I11</f>
        <v>2490.0937716096746</v>
      </c>
      <c r="J10" s="197">
        <f t="shared" si="0"/>
        <v>2925.9708524756611</v>
      </c>
      <c r="K10" s="197">
        <f t="shared" si="0"/>
        <v>3094.3312153271104</v>
      </c>
      <c r="L10" s="197">
        <f t="shared" si="0"/>
        <v>3272.3790334570317</v>
      </c>
      <c r="M10" s="197">
        <f t="shared" si="0"/>
        <v>3460.6717230421491</v>
      </c>
      <c r="N10" s="197">
        <f t="shared" si="0"/>
        <v>3659.7987739859932</v>
      </c>
      <c r="O10" s="197">
        <f t="shared" si="0"/>
        <v>3870.3835954411475</v>
      </c>
      <c r="P10" s="197">
        <f t="shared" si="0"/>
        <v>4093.0854675228293</v>
      </c>
      <c r="Q10" s="197">
        <f t="shared" si="0"/>
        <v>4328.6016053240928</v>
      </c>
      <c r="R10" s="197">
        <f t="shared" si="0"/>
        <v>4577.6693416944408</v>
      </c>
      <c r="S10" s="197">
        <f t="shared" si="0"/>
        <v>4841.0684356155389</v>
      </c>
      <c r="T10" s="197">
        <f t="shared" si="0"/>
        <v>5119.6235134008557</v>
      </c>
      <c r="U10" s="197">
        <f t="shared" si="0"/>
        <v>5414.2066503619417</v>
      </c>
      <c r="V10" s="197">
        <f t="shared" si="0"/>
        <v>5725.7401010237663</v>
      </c>
      <c r="W10" s="197">
        <f t="shared" si="0"/>
        <v>6055.1991864366746</v>
      </c>
      <c r="X10" s="197">
        <f t="shared" si="0"/>
        <v>6403.615347624238</v>
      </c>
      <c r="Y10" s="197">
        <f t="shared" si="0"/>
        <v>6772.0793747265361</v>
      </c>
      <c r="Z10" s="197">
        <f t="shared" si="0"/>
        <v>7161.7448219482994</v>
      </c>
    </row>
    <row r="11" spans="1:26" s="167" customFormat="1">
      <c r="A11" s="52"/>
      <c r="B11" s="162" t="s">
        <v>87</v>
      </c>
      <c r="C11" s="162"/>
      <c r="D11" s="162"/>
      <c r="E11" s="162"/>
      <c r="F11" s="162"/>
      <c r="G11" s="198">
        <v>1</v>
      </c>
      <c r="H11" s="199">
        <f>Sales!E14*0.8</f>
        <v>3842.6360000000004</v>
      </c>
      <c r="I11" s="199">
        <f>IF(I$2&lt;=$C$46,0,Sales!F5*I$3*(1+$C$45)^(I$2-$C$46-1))</f>
        <v>2490.0937716096746</v>
      </c>
      <c r="J11" s="199">
        <f>IF(J$2&lt;=$C$46,0,Sales!G5*J$3*(1+$C$45)^(J$2-$C$46-1))</f>
        <v>2925.9708524756611</v>
      </c>
      <c r="K11" s="199">
        <f>IF(K$2&lt;=$C$46,0,Sales!H5*K$3*(1+$C$45)^(K$2-$C$46-1))</f>
        <v>3094.3312153271104</v>
      </c>
      <c r="L11" s="199">
        <f>IF(L$2&lt;=$C$46,0,Sales!I5*L$3*(1+$C$45)^(L$2-$C$46-1))</f>
        <v>3272.3790334570317</v>
      </c>
      <c r="M11" s="199">
        <f>IF(M$2&lt;=$C$46,0,Sales!J5*M$3*(1+$C$45)^(M$2-$C$46-1))</f>
        <v>3460.6717230421491</v>
      </c>
      <c r="N11" s="199">
        <f>IF(N$2&lt;=$C$46,0,Sales!K5*N$3*(1+$C$45)^(N$2-$C$46-1))</f>
        <v>3659.7987739859932</v>
      </c>
      <c r="O11" s="199">
        <f>IF(O$2&lt;=$C$46,0,Sales!L5*O$3*(1+$C$45)^(O$2-$C$46-1))</f>
        <v>3870.3835954411475</v>
      </c>
      <c r="P11" s="199">
        <f>IF(P$2&lt;=$C$46,0,Sales!M5*P$3*(1+$C$45)^(P$2-$C$46-1))</f>
        <v>4093.0854675228293</v>
      </c>
      <c r="Q11" s="199">
        <f>IF(Q$2&lt;=$C$46,0,Sales!N5*Q$3*(1+$C$45)^(Q$2-$C$46-1))</f>
        <v>4328.6016053240928</v>
      </c>
      <c r="R11" s="199">
        <f>IF(R$2&lt;=$C$46,0,Sales!O5*R$3*(1+$C$45)^(R$2-$C$46-1))</f>
        <v>4577.6693416944408</v>
      </c>
      <c r="S11" s="199">
        <f>IF(S$2&lt;=$C$46,0,Sales!P5*S$3*(1+$C$45)^(S$2-$C$46-1))</f>
        <v>4841.0684356155389</v>
      </c>
      <c r="T11" s="199">
        <f>IF(T$2&lt;=$C$46,0,Sales!Q5*T$3*(1+$C$45)^(T$2-$C$46-1))</f>
        <v>5119.6235134008557</v>
      </c>
      <c r="U11" s="199">
        <f>IF(U$2&lt;=$C$46,0,Sales!R5*U$3*(1+$C$45)^(U$2-$C$46-1))</f>
        <v>5414.2066503619417</v>
      </c>
      <c r="V11" s="199">
        <f>IF(V$2&lt;=$C$46,0,Sales!S5*V$3*(1+$C$45)^(V$2-$C$46-1))</f>
        <v>5725.7401010237663</v>
      </c>
      <c r="W11" s="199">
        <f>IF(W$2&lt;=$C$46,0,Sales!T5*W$3*(1+$C$45)^(W$2-$C$46-1))</f>
        <v>6055.1991864366746</v>
      </c>
      <c r="X11" s="199">
        <f>IF(X$2&lt;=$C$46,0,Sales!U5*X$3*(1+$C$45)^(X$2-$C$46-1))</f>
        <v>6403.615347624238</v>
      </c>
      <c r="Y11" s="199">
        <f>IF(Y$2&lt;=$C$46,0,Sales!V5*Y$3*(1+$C$45)^(Y$2-$C$46-1))</f>
        <v>6772.0793747265361</v>
      </c>
      <c r="Z11" s="199">
        <f>IF(Z$2&lt;=$C$46,0,Sales!W5*Z$3*(1+$C$45)^(Z$2-$C$46-1))</f>
        <v>7161.7448219482994</v>
      </c>
    </row>
    <row r="12" spans="1:26">
      <c r="A12" s="52"/>
      <c r="B12" s="200"/>
      <c r="C12" s="200"/>
      <c r="D12" s="200"/>
      <c r="E12" s="200"/>
      <c r="F12" s="200"/>
      <c r="G12" s="201"/>
      <c r="H12" s="202"/>
      <c r="I12" s="202"/>
      <c r="J12" s="202"/>
      <c r="K12" s="202"/>
      <c r="L12" s="202"/>
      <c r="M12" s="202"/>
      <c r="N12" s="202"/>
      <c r="O12" s="202"/>
      <c r="P12" s="202"/>
      <c r="Q12" s="202"/>
      <c r="R12" s="202"/>
      <c r="S12" s="202"/>
      <c r="T12" s="202"/>
      <c r="U12" s="202"/>
      <c r="V12" s="202"/>
      <c r="W12" s="202"/>
      <c r="X12" s="202"/>
      <c r="Y12" s="202"/>
      <c r="Z12" s="202"/>
    </row>
    <row r="13" spans="1:26">
      <c r="A13" s="194">
        <v>3</v>
      </c>
      <c r="B13" s="195" t="s">
        <v>107</v>
      </c>
      <c r="C13" s="195"/>
      <c r="D13" s="195"/>
      <c r="E13" s="195"/>
      <c r="F13" s="195"/>
      <c r="G13" s="207"/>
      <c r="H13" s="183"/>
      <c r="I13" s="183"/>
      <c r="J13" s="183"/>
      <c r="K13" s="183"/>
      <c r="L13" s="183"/>
      <c r="M13" s="183"/>
      <c r="N13" s="183"/>
      <c r="O13" s="183"/>
      <c r="P13" s="183"/>
      <c r="Q13" s="183"/>
      <c r="R13" s="186"/>
      <c r="S13" s="186"/>
      <c r="T13" s="186"/>
      <c r="U13" s="186"/>
      <c r="V13" s="186"/>
      <c r="W13" s="186"/>
      <c r="X13" s="186"/>
      <c r="Y13" s="186"/>
      <c r="Z13" s="186"/>
    </row>
    <row r="14" spans="1:26">
      <c r="A14" s="52"/>
      <c r="B14" s="17" t="s">
        <v>28</v>
      </c>
      <c r="C14" s="17"/>
      <c r="D14" s="17"/>
      <c r="E14" s="17"/>
      <c r="F14" s="263"/>
      <c r="G14" s="208">
        <f t="shared" ref="G14:G19" si="1">J14/$J$20</f>
        <v>0.64074822639097051</v>
      </c>
      <c r="H14" s="199">
        <f>IF(H$2&lt;=$C$46,0,'Opex PVC'!E84*J$3*(1+$C$45)^(H$2-$C$46-1))</f>
        <v>1614.9450000000002</v>
      </c>
      <c r="I14" s="199">
        <f>IF(I$2&lt;=$C$46,0,'Opex PVC'!F3*I$3*(1+$C$45)^(I$2-$C$46-1))</f>
        <v>721.44872468776794</v>
      </c>
      <c r="J14" s="199">
        <f>IF(J$2&lt;=$C$46,0,'Opex PVC'!G3*J$3*(1+$C$45)^(J$2-$C$46-1))</f>
        <v>850.58243513901971</v>
      </c>
      <c r="K14" s="199">
        <f>IF(K$2&lt;=$C$46,0,'Opex PVC'!H3*K$3*(1+$C$45)^(K$2-$C$46-1))</f>
        <v>901.92486679766364</v>
      </c>
      <c r="L14" s="199">
        <f>IF(L$2&lt;=$C$46,0,'Opex PVC'!I3*L$3*(1+$C$45)^(L$2-$C$46-1))</f>
        <v>953.91587478178133</v>
      </c>
      <c r="M14" s="199">
        <f>IF(M$2&lt;=$C$46,0,'Opex PVC'!J3*M$3*(1+$C$45)^(M$2-$C$46-1))</f>
        <v>1010.1997731415307</v>
      </c>
      <c r="N14" s="199">
        <f>IF(N$2&lt;=$C$46,0,'Opex PVC'!K3*N$3*(1+$C$45)^(N$2-$C$46-1))</f>
        <v>1069.4878927273203</v>
      </c>
      <c r="O14" s="199">
        <f>IF(O$2&lt;=$C$46,0,'Opex PVC'!L3*O$3*(1+$C$45)^(O$2-$C$46-1))</f>
        <v>1132.7026483467005</v>
      </c>
      <c r="P14" s="199">
        <f>IF(P$2&lt;=$C$46,0,'Opex PVC'!M3*P$3*(1+$C$45)^(P$2-$C$46-1))</f>
        <v>1201.4293815351361</v>
      </c>
      <c r="Q14" s="199">
        <f>IF(Q$2&lt;=$C$46,0,'Opex PVC'!N3*Q$3*(1+$C$45)^(Q$2-$C$46-1))</f>
        <v>1268.550838222741</v>
      </c>
      <c r="R14" s="199">
        <f>IF(R$2&lt;=$C$46,0,'Opex PVC'!O3*R$3*(1+$C$45)^(R$2-$C$46-1))</f>
        <v>1340.4827449533232</v>
      </c>
      <c r="S14" s="199">
        <f>IF(S$2&lt;=$C$46,0,'Opex PVC'!P3*S$3*(1+$C$45)^(S$2-$C$46-1))</f>
        <v>1416.9137198636993</v>
      </c>
      <c r="T14" s="199">
        <f>IF(T$2&lt;=$C$46,0,'Opex PVC'!Q3*T$3*(1+$C$45)^(T$2-$C$46-1))</f>
        <v>1496.2219230487697</v>
      </c>
      <c r="U14" s="199">
        <f>IF(U$2&lt;=$C$46,0,'Opex PVC'!R3*U$3*(1+$C$45)^(U$2-$C$46-1))</f>
        <v>1579.6564942547</v>
      </c>
      <c r="V14" s="199">
        <f>IF(V$2&lt;=$C$46,0,'Opex PVC'!S3*V$3*(1+$C$45)^(V$2-$C$46-1))</f>
        <v>1667.5785950684217</v>
      </c>
      <c r="W14" s="199">
        <f>IF(W$2&lt;=$C$46,0,'Opex PVC'!T3*W$3*(1+$C$45)^(W$2-$C$46-1))</f>
        <v>1762.6597576127356</v>
      </c>
      <c r="X14" s="199">
        <f>IF(X$2&lt;=$C$46,0,'Opex PVC'!U3*X$3*(1+$C$45)^(X$2-$C$46-1))</f>
        <v>1863.7148041764306</v>
      </c>
      <c r="Y14" s="199">
        <f>IF(Y$2&lt;=$C$46,0,'Opex PVC'!V3*Y$3*(1+$C$45)^(Y$2-$C$46-1))</f>
        <v>1971.9267449939246</v>
      </c>
      <c r="Z14" s="199">
        <f>IF(Z$2&lt;=$C$46,0,'Opex PVC'!W3*Z$3*(1+$C$45)^(Z$2-$C$46-1))</f>
        <v>2084.3610781766151</v>
      </c>
    </row>
    <row r="15" spans="1:26">
      <c r="A15" s="52"/>
      <c r="B15" s="17" t="s">
        <v>328</v>
      </c>
      <c r="C15" s="17"/>
      <c r="D15" s="17"/>
      <c r="E15" s="17"/>
      <c r="F15" s="17"/>
      <c r="G15" s="208">
        <f t="shared" si="1"/>
        <v>8.6970672662633253E-2</v>
      </c>
      <c r="H15" s="199">
        <f>IF(H$2&lt;=$C$46,0,'Opex PVC'!E88*J$3*(1+$C$45)^(H$2-$C$46-1))</f>
        <v>155.41</v>
      </c>
      <c r="I15" s="199">
        <f>IF(I$2&lt;=$C$46,0,'Opex PVC'!F8*I$3*(1+$C$45)^(I$2-$C$46-1))</f>
        <v>97.895469375000005</v>
      </c>
      <c r="J15" s="199">
        <f>IF(J$2&lt;=$C$46,0,'Opex PVC'!G8*J$3*(1+$C$45)^(J$2-$C$46-1))</f>
        <v>115.45209723908435</v>
      </c>
      <c r="K15" s="199">
        <f>IF(K$2&lt;=$C$46,0,'Opex PVC'!H8*K$3*(1+$C$45)^(K$2-$C$46-1))</f>
        <v>122.37270002993542</v>
      </c>
      <c r="L15" s="199">
        <f>IF(L$2&lt;=$C$46,0,'Opex PVC'!I8*L$3*(1+$C$45)^(L$2-$C$46-1))</f>
        <v>129.66978413272042</v>
      </c>
      <c r="M15" s="199">
        <f>IF(M$2&lt;=$C$46,0,'Opex PVC'!J8*M$3*(1+$C$45)^(M$2-$C$46-1))</f>
        <v>137.32069040590332</v>
      </c>
      <c r="N15" s="199">
        <f>IF(N$2&lt;=$C$46,0,'Opex PVC'!K8*N$3*(1+$C$45)^(N$2-$C$46-1))</f>
        <v>145.42302310192281</v>
      </c>
      <c r="O15" s="199">
        <f>IF(O$2&lt;=$C$46,0,'Opex PVC'!L8*O$3*(1+$C$45)^(O$2-$C$46-1))</f>
        <v>154.00341773400555</v>
      </c>
      <c r="P15" s="199">
        <f>IF(P$2&lt;=$C$46,0,'Opex PVC'!M8*P$3*(1+$C$45)^(P$2-$C$46-1))</f>
        <v>163.09008139056505</v>
      </c>
      <c r="Q15" s="199">
        <f>IF(Q$2&lt;=$C$46,0,'Opex PVC'!N8*Q$3*(1+$C$45)^(Q$2-$C$46-1))</f>
        <v>172.71288546285257</v>
      </c>
      <c r="R15" s="199">
        <f>IF(R$2&lt;=$C$46,0,'Opex PVC'!O8*R$3*(1+$C$45)^(R$2-$C$46-1))</f>
        <v>182.90346384381721</v>
      </c>
      <c r="S15" s="199">
        <f>IF(S$2&lt;=$C$46,0,'Opex PVC'!P8*S$3*(1+$C$45)^(S$2-$C$46-1))</f>
        <v>193.69531692099395</v>
      </c>
      <c r="T15" s="199">
        <f>IF(T$2&lt;=$C$46,0,'Opex PVC'!Q8*T$3*(1+$C$45)^(T$2-$C$46-1))</f>
        <v>205.12392170528332</v>
      </c>
      <c r="U15" s="199">
        <f>IF(U$2&lt;=$C$46,0,'Opex PVC'!R8*U$3*(1+$C$45)^(U$2-$C$46-1))</f>
        <v>217.22684845766017</v>
      </c>
      <c r="V15" s="199">
        <f>IF(V$2&lt;=$C$46,0,'Opex PVC'!S8*V$3*(1+$C$45)^(V$2-$C$46-1))</f>
        <v>230.04388419720743</v>
      </c>
      <c r="W15" s="199">
        <f>IF(W$2&lt;=$C$46,0,'Opex PVC'!T8*W$3*(1+$C$45)^(W$2-$C$46-1))</f>
        <v>243.61716349649529</v>
      </c>
      <c r="X15" s="199">
        <f>IF(X$2&lt;=$C$46,0,'Opex PVC'!U8*X$3*(1+$C$45)^(X$2-$C$46-1))</f>
        <v>257.99130699427889</v>
      </c>
      <c r="Y15" s="199">
        <f>IF(Y$2&lt;=$C$46,0,'Opex PVC'!V8*Y$3*(1+$C$45)^(Y$2-$C$46-1))</f>
        <v>273.21356808086233</v>
      </c>
      <c r="Z15" s="199">
        <f>IF(Z$2&lt;=$C$46,0,'Opex PVC'!W8*Z$3*(1+$C$45)^(Z$2-$C$46-1))</f>
        <v>289.33398823833738</v>
      </c>
    </row>
    <row r="16" spans="1:26">
      <c r="A16" s="52"/>
      <c r="B16" s="17" t="s">
        <v>29</v>
      </c>
      <c r="C16" s="17"/>
      <c r="D16" s="17"/>
      <c r="E16" s="17"/>
      <c r="F16" s="17"/>
      <c r="G16" s="208">
        <f t="shared" si="1"/>
        <v>2.2136924367023289E-2</v>
      </c>
      <c r="H16" s="199">
        <f>IF(H$2&lt;=$C$46,0,'Opex PVC'!$E$89*(1+$C$45)^(H$2-$C$46-1))</f>
        <v>26.91</v>
      </c>
      <c r="I16" s="199">
        <f>IF(I$2&lt;=$C$46,0,'Opex PVC'!$E$9*(1+$C$45)^(I$2-$C$46-1))</f>
        <v>28.120949999999997</v>
      </c>
      <c r="J16" s="199">
        <f>IF(J$2&lt;=$C$46,0,'Opex PVC'!$E$9*(1+$C$45)^(J$2-$C$46-1))</f>
        <v>29.386392749999995</v>
      </c>
      <c r="K16" s="199">
        <f>IF(K$2&lt;=$C$46,0,'Opex PVC'!$E$9*(1+$C$45)^(K$2-$C$46-1))</f>
        <v>30.708780423749996</v>
      </c>
      <c r="L16" s="199">
        <f>IF(L$2&lt;=$C$46,0,'Opex PVC'!$E$9*(1+$C$45)^(L$2-$C$46-1))</f>
        <v>32.090675542818737</v>
      </c>
      <c r="M16" s="199">
        <f>IF(M$2&lt;=$C$46,0,'Opex PVC'!$E$9*(1+$C$45)^(M$2-$C$46-1))</f>
        <v>33.534755942245582</v>
      </c>
      <c r="N16" s="199">
        <f>IF(N$2&lt;=$C$46,0,'Opex PVC'!$E$9*(1+$C$45)^(N$2-$C$46-1))</f>
        <v>35.043819959646619</v>
      </c>
      <c r="O16" s="199">
        <f>IF(O$2&lt;=$C$46,0,'Opex PVC'!$E$9*(1+$C$45)^(O$2-$C$46-1))</f>
        <v>36.620791857830724</v>
      </c>
      <c r="P16" s="199">
        <f>IF(P$2&lt;=$C$46,0,'Opex PVC'!$E$9*(1+$C$45)^(P$2-$C$46-1))</f>
        <v>38.26872749143309</v>
      </c>
      <c r="Q16" s="199">
        <f>IF(Q$2&lt;=$C$46,0,'Opex PVC'!$E$9*(1+$C$45)^(Q$2-$C$46-1))</f>
        <v>39.990820228547577</v>
      </c>
      <c r="R16" s="199">
        <f>IF(R$2&lt;=$C$46,0,'Opex PVC'!$E$9*(1+$C$45)^(R$2-$C$46-1))</f>
        <v>41.790407138832215</v>
      </c>
      <c r="S16" s="199">
        <f>IF(S$2&lt;=$C$46,0,'Opex PVC'!$E$9*(1+$C$45)^(S$2-$C$46-1))</f>
        <v>43.67097546007966</v>
      </c>
      <c r="T16" s="199">
        <f>IF(T$2&lt;=$C$46,0,'Opex PVC'!$E$9*(1+$C$45)^(T$2-$C$46-1))</f>
        <v>45.636169355783238</v>
      </c>
      <c r="U16" s="199">
        <f>IF(U$2&lt;=$C$46,0,'Opex PVC'!$E$9*(1+$C$45)^(U$2-$C$46-1))</f>
        <v>47.689796976793488</v>
      </c>
      <c r="V16" s="199">
        <f>IF(V$2&lt;=$C$46,0,'Opex PVC'!$E$9*(1+$C$45)^(V$2-$C$46-1))</f>
        <v>49.835837840749178</v>
      </c>
      <c r="W16" s="199">
        <f>IF(W$2&lt;=$C$46,0,'Opex PVC'!$E$9*(1+$C$45)^(W$2-$C$46-1))</f>
        <v>52.078450543582896</v>
      </c>
      <c r="X16" s="199">
        <f>IF(X$2&lt;=$C$46,0,'Opex PVC'!$E$9*(1+$C$45)^(X$2-$C$46-1))</f>
        <v>54.421980818044105</v>
      </c>
      <c r="Y16" s="199">
        <f>IF(Y$2&lt;=$C$46,0,'Opex PVC'!$E$9*(1+$C$45)^(Y$2-$C$46-1))</f>
        <v>56.870969954856093</v>
      </c>
      <c r="Z16" s="199">
        <f>IF(Z$2&lt;=$C$46,0,'Opex PVC'!$E$9*(1+$C$45)^(Z$2-$C$46-1))</f>
        <v>59.430163602824607</v>
      </c>
    </row>
    <row r="17" spans="1:26">
      <c r="A17" s="52"/>
      <c r="B17" s="17" t="s">
        <v>17</v>
      </c>
      <c r="C17" s="17"/>
      <c r="D17" s="17"/>
      <c r="E17" s="17"/>
      <c r="F17" s="17"/>
      <c r="G17" s="208">
        <f t="shared" si="1"/>
        <v>0.12931715014849723</v>
      </c>
      <c r="H17" s="199">
        <f>IF(H$2&lt;=$C$46,0,'Opex PVC'!$E$91*(1+$C$45)^(H$2-$C$46-1))</f>
        <v>157.19999999999999</v>
      </c>
      <c r="I17" s="199">
        <f>IF(I$2&lt;=$C$46,0,'Opex PVC'!$E$11*(1+$C$45)^(I$2-$C$46-1))</f>
        <v>164.27399999999997</v>
      </c>
      <c r="J17" s="199">
        <f>IF(J$2&lt;=$C$46,0,'Opex PVC'!$E$11*(1+$C$45)^(J$2-$C$46-1))</f>
        <v>171.66632999999996</v>
      </c>
      <c r="K17" s="199">
        <f>IF(K$2&lt;=$C$46,0,'Opex PVC'!$E$11*(1+$C$45)^(K$2-$C$46-1))</f>
        <v>179.39131484999996</v>
      </c>
      <c r="L17" s="199">
        <f>IF(L$2&lt;=$C$46,0,'Opex PVC'!$E$11*(1+$C$45)^(L$2-$C$46-1))</f>
        <v>187.46392401824991</v>
      </c>
      <c r="M17" s="199">
        <f>IF(M$2&lt;=$C$46,0,'Opex PVC'!$E$11*(1+$C$45)^(M$2-$C$46-1))</f>
        <v>195.89980059907114</v>
      </c>
      <c r="N17" s="199">
        <f>IF(N$2&lt;=$C$46,0,'Opex PVC'!$E$11*(1+$C$45)^(N$2-$C$46-1))</f>
        <v>204.71529162602931</v>
      </c>
      <c r="O17" s="199">
        <f>IF(O$2&lt;=$C$46,0,'Opex PVC'!$E$11*(1+$C$45)^(O$2-$C$46-1))</f>
        <v>213.92747974920064</v>
      </c>
      <c r="P17" s="199">
        <f>IF(P$2&lt;=$C$46,0,'Opex PVC'!$E$11*(1+$C$45)^(P$2-$C$46-1))</f>
        <v>223.5542163379146</v>
      </c>
      <c r="Q17" s="199">
        <f>IF(Q$2&lt;=$C$46,0,'Opex PVC'!$E$11*(1+$C$45)^(Q$2-$C$46-1))</f>
        <v>233.61415607312074</v>
      </c>
      <c r="R17" s="199">
        <f>IF(R$2&lt;=$C$46,0,'Opex PVC'!$E$11*(1+$C$45)^(R$2-$C$46-1))</f>
        <v>244.12679309641112</v>
      </c>
      <c r="S17" s="199">
        <f>IF(S$2&lt;=$C$46,0,'Opex PVC'!$E$11*(1+$C$45)^(S$2-$C$46-1))</f>
        <v>255.11249878574964</v>
      </c>
      <c r="T17" s="199">
        <f>IF(T$2&lt;=$C$46,0,'Opex PVC'!$E$11*(1+$C$45)^(T$2-$C$46-1))</f>
        <v>266.59256123110828</v>
      </c>
      <c r="U17" s="199">
        <f>IF(U$2&lt;=$C$46,0,'Opex PVC'!$E$11*(1+$C$45)^(U$2-$C$46-1))</f>
        <v>278.58922648650821</v>
      </c>
      <c r="V17" s="199">
        <f>IF(V$2&lt;=$C$46,0,'Opex PVC'!$E$11*(1+$C$45)^(V$2-$C$46-1))</f>
        <v>291.12574167840097</v>
      </c>
      <c r="W17" s="199">
        <f>IF(W$2&lt;=$C$46,0,'Opex PVC'!$E$11*(1+$C$45)^(W$2-$C$46-1))</f>
        <v>304.22640005392907</v>
      </c>
      <c r="X17" s="199">
        <f>IF(X$2&lt;=$C$46,0,'Opex PVC'!$E$11*(1+$C$45)^(X$2-$C$46-1))</f>
        <v>317.91658805635575</v>
      </c>
      <c r="Y17" s="199">
        <f>IF(Y$2&lt;=$C$46,0,'Opex PVC'!$E$11*(1+$C$45)^(Y$2-$C$46-1))</f>
        <v>332.22283451889177</v>
      </c>
      <c r="Z17" s="199">
        <f>IF(Z$2&lt;=$C$46,0,'Opex PVC'!$E$11*(1+$C$45)^(Z$2-$C$46-1))</f>
        <v>347.1728620722418</v>
      </c>
    </row>
    <row r="18" spans="1:26" s="167" customFormat="1">
      <c r="A18" s="52"/>
      <c r="B18" s="17" t="s">
        <v>20</v>
      </c>
      <c r="C18" s="17"/>
      <c r="D18" s="17"/>
      <c r="E18" s="17"/>
      <c r="F18" s="17"/>
      <c r="G18" s="208">
        <f t="shared" si="1"/>
        <v>5.6834868985987247E-2</v>
      </c>
      <c r="H18" s="199">
        <f>IF(H$2&lt;=$C$46,0,'Opex PVC'!$E$94*(1+$C$45)^(H$2-$C$46-1))</f>
        <v>69.089377505903997</v>
      </c>
      <c r="I18" s="199">
        <f>IF(I$2&lt;=$C$46,0,'Opex PVC'!$E$14*(1+$C$45)^(I$2-$C$46-1))</f>
        <v>72.198399493669669</v>
      </c>
      <c r="J18" s="199">
        <f>IF(J$2&lt;=$C$46,0,'Opex PVC'!$E$14*(1+$C$45)^(J$2-$C$46-1))</f>
        <v>75.447327470884801</v>
      </c>
      <c r="K18" s="199">
        <f>IF(K$2&lt;=$C$46,0,'Opex PVC'!$E$14*(1+$C$45)^(K$2-$C$46-1))</f>
        <v>78.842457207074617</v>
      </c>
      <c r="L18" s="199">
        <f>IF(L$2&lt;=$C$46,0,'Opex PVC'!$E$14*(1+$C$45)^(L$2-$C$46-1))</f>
        <v>82.390367781392953</v>
      </c>
      <c r="M18" s="199">
        <f>IF(M$2&lt;=$C$46,0,'Opex PVC'!$E$14*(1+$C$45)^(M$2-$C$46-1))</f>
        <v>86.097934331555635</v>
      </c>
      <c r="N18" s="199">
        <f>IF(N$2&lt;=$C$46,0,'Opex PVC'!$E$14*(1+$C$45)^(N$2-$C$46-1))</f>
        <v>89.972341376475612</v>
      </c>
      <c r="O18" s="199">
        <f>IF(O$2&lt;=$C$46,0,'Opex PVC'!$E$14*(1+$C$45)^(O$2-$C$46-1))</f>
        <v>94.021096738417029</v>
      </c>
      <c r="P18" s="199">
        <f>IF(P$2&lt;=$C$46,0,'Opex PVC'!$E$14*(1+$C$45)^(P$2-$C$46-1))</f>
        <v>98.252046091645767</v>
      </c>
      <c r="Q18" s="199">
        <f>IF(Q$2&lt;=$C$46,0,'Opex PVC'!$E$14*(1+$C$45)^(Q$2-$C$46-1))</f>
        <v>102.67338816576981</v>
      </c>
      <c r="R18" s="199">
        <f>IF(R$2&lt;=$C$46,0,'Opex PVC'!$E$14*(1+$C$45)^(R$2-$C$46-1))</f>
        <v>107.29369063322943</v>
      </c>
      <c r="S18" s="199">
        <f>IF(S$2&lt;=$C$46,0,'Opex PVC'!$E$14*(1+$C$45)^(S$2-$C$46-1))</f>
        <v>112.12190671172476</v>
      </c>
      <c r="T18" s="199">
        <f>IF(T$2&lt;=$C$46,0,'Opex PVC'!$E$14*(1+$C$45)^(T$2-$C$46-1))</f>
        <v>117.16739251375235</v>
      </c>
      <c r="U18" s="199">
        <f>IF(U$2&lt;=$C$46,0,'Opex PVC'!$E$14*(1+$C$45)^(U$2-$C$46-1))</f>
        <v>122.43992517687121</v>
      </c>
      <c r="V18" s="199">
        <f>IF(V$2&lt;=$C$46,0,'Opex PVC'!$E$14*(1+$C$45)^(V$2-$C$46-1))</f>
        <v>127.94972180983038</v>
      </c>
      <c r="W18" s="199">
        <f>IF(W$2&lt;=$C$46,0,'Opex PVC'!$E$14*(1+$C$45)^(W$2-$C$46-1))</f>
        <v>133.70745929127276</v>
      </c>
      <c r="X18" s="199">
        <f>IF(X$2&lt;=$C$46,0,'Opex PVC'!$E$14*(1+$C$45)^(X$2-$C$46-1))</f>
        <v>139.72429495937999</v>
      </c>
      <c r="Y18" s="199">
        <f>IF(Y$2&lt;=$C$46,0,'Opex PVC'!$E$14*(1+$C$45)^(Y$2-$C$46-1))</f>
        <v>146.01188823255208</v>
      </c>
      <c r="Z18" s="199">
        <f>IF(Z$2&lt;=$C$46,0,'Opex PVC'!$E$14*(1+$C$45)^(Z$2-$C$46-1))</f>
        <v>152.5824232030169</v>
      </c>
    </row>
    <row r="19" spans="1:26">
      <c r="A19" s="52"/>
      <c r="B19" s="17" t="s">
        <v>21</v>
      </c>
      <c r="C19" s="17"/>
      <c r="D19" s="17"/>
      <c r="E19" s="17"/>
      <c r="F19" s="17"/>
      <c r="G19" s="208">
        <f t="shared" si="1"/>
        <v>6.3992157444888467E-2</v>
      </c>
      <c r="H19" s="199">
        <f>IF(H$2&lt;=$C$46,0,'Opex PVC'!$E$97*(1+$C$45)^(H$2-$C$46-1))</f>
        <v>123.79020212092189</v>
      </c>
      <c r="I19" s="199">
        <f>IF(I$2&lt;=$C$46,0,'Opex PVC'!$E$17*(1+$C$45)^(I$2-$C$46-1))</f>
        <v>81.29043719282555</v>
      </c>
      <c r="J19" s="199">
        <f>IF(J$2&lt;=$C$46,0,'Opex PVC'!$E$17*(1+$C$45)^(J$2-$C$46-1))</f>
        <v>84.948506866502697</v>
      </c>
      <c r="K19" s="199">
        <f>IF(K$2&lt;=$C$46,0,'Opex PVC'!$E$17*(1+$C$45)^(K$2-$C$46-1))</f>
        <v>88.771189675495322</v>
      </c>
      <c r="L19" s="199">
        <f>IF(L$2&lt;=$C$46,0,'Opex PVC'!$E$17*(1+$C$45)^(L$2-$C$46-1))</f>
        <v>92.765893210892585</v>
      </c>
      <c r="M19" s="199">
        <f>IF(M$2&lt;=$C$46,0,'Opex PVC'!$E$17*(1+$C$45)^(M$2-$C$46-1))</f>
        <v>96.940358405382753</v>
      </c>
      <c r="N19" s="199">
        <f>IF(N$2&lt;=$C$46,0,'Opex PVC'!$E$17*(1+$C$45)^(N$2-$C$46-1))</f>
        <v>101.30267453362495</v>
      </c>
      <c r="O19" s="199">
        <f>IF(O$2&lt;=$C$46,0,'Opex PVC'!$E$17*(1+$C$45)^(O$2-$C$46-1))</f>
        <v>105.86129488763808</v>
      </c>
      <c r="P19" s="199">
        <f>IF(P$2&lt;=$C$46,0,'Opex PVC'!$E$17*(1+$C$45)^(P$2-$C$46-1))</f>
        <v>110.62505315758176</v>
      </c>
      <c r="Q19" s="199">
        <f>IF(Q$2&lt;=$C$46,0,'Opex PVC'!$E$17*(1+$C$45)^(Q$2-$C$46-1))</f>
        <v>115.60318054967293</v>
      </c>
      <c r="R19" s="199">
        <f>IF(R$2&lt;=$C$46,0,'Opex PVC'!$E$17*(1+$C$45)^(R$2-$C$46-1))</f>
        <v>120.80532367440819</v>
      </c>
      <c r="S19" s="199">
        <f>IF(S$2&lt;=$C$46,0,'Opex PVC'!$E$17*(1+$C$45)^(S$2-$C$46-1))</f>
        <v>126.24156323975656</v>
      </c>
      <c r="T19" s="199">
        <f>IF(T$2&lt;=$C$46,0,'Opex PVC'!$E$17*(1+$C$45)^(T$2-$C$46-1))</f>
        <v>131.92243358554558</v>
      </c>
      <c r="U19" s="199">
        <f>IF(U$2&lt;=$C$46,0,'Opex PVC'!$E$17*(1+$C$45)^(U$2-$C$46-1))</f>
        <v>137.85894309689513</v>
      </c>
      <c r="V19" s="199">
        <f>IF(V$2&lt;=$C$46,0,'Opex PVC'!$E$17*(1+$C$45)^(V$2-$C$46-1))</f>
        <v>144.06259553625537</v>
      </c>
      <c r="W19" s="199">
        <f>IF(W$2&lt;=$C$46,0,'Opex PVC'!$E$17*(1+$C$45)^(W$2-$C$46-1))</f>
        <v>150.54541233538689</v>
      </c>
      <c r="X19" s="199">
        <f>IF(X$2&lt;=$C$46,0,'Opex PVC'!$E$17*(1+$C$45)^(X$2-$C$46-1))</f>
        <v>157.31995589047924</v>
      </c>
      <c r="Y19" s="199">
        <f>IF(Y$2&lt;=$C$46,0,'Opex PVC'!$E$17*(1+$C$45)^(Y$2-$C$46-1))</f>
        <v>164.39935390555081</v>
      </c>
      <c r="Z19" s="199">
        <f>IF(Z$2&lt;=$C$46,0,'Opex PVC'!$E$17*(1+$C$45)^(Z$2-$C$46-1))</f>
        <v>171.79732483130056</v>
      </c>
    </row>
    <row r="20" spans="1:26" s="167" customFormat="1">
      <c r="A20" s="187"/>
      <c r="B20" s="209" t="s">
        <v>30</v>
      </c>
      <c r="C20" s="209"/>
      <c r="D20" s="209"/>
      <c r="E20" s="209"/>
      <c r="F20" s="209"/>
      <c r="G20" s="210"/>
      <c r="H20" s="192">
        <f t="shared" ref="H20:Q20" si="2">SUM(H14:H19)</f>
        <v>2147.3445796268261</v>
      </c>
      <c r="I20" s="192">
        <f t="shared" si="2"/>
        <v>1165.227980749263</v>
      </c>
      <c r="J20" s="192">
        <f t="shared" si="2"/>
        <v>1327.4830894654915</v>
      </c>
      <c r="K20" s="192">
        <f t="shared" si="2"/>
        <v>1402.011308983919</v>
      </c>
      <c r="L20" s="192">
        <f t="shared" si="2"/>
        <v>1478.2965194678557</v>
      </c>
      <c r="M20" s="192">
        <f t="shared" si="2"/>
        <v>1559.9933128256891</v>
      </c>
      <c r="N20" s="192">
        <f t="shared" si="2"/>
        <v>1645.9450433250197</v>
      </c>
      <c r="O20" s="192">
        <f t="shared" si="2"/>
        <v>1737.1367293137926</v>
      </c>
      <c r="P20" s="192">
        <f t="shared" si="2"/>
        <v>1835.2195060042764</v>
      </c>
      <c r="Q20" s="192">
        <f t="shared" si="2"/>
        <v>1933.1452687027047</v>
      </c>
      <c r="R20" s="192">
        <f t="shared" ref="R20:Z20" si="3">SUM(R14:R19)</f>
        <v>2037.4024233400214</v>
      </c>
      <c r="S20" s="192">
        <f t="shared" si="3"/>
        <v>2147.7559809820041</v>
      </c>
      <c r="T20" s="192">
        <f t="shared" si="3"/>
        <v>2262.6644014402423</v>
      </c>
      <c r="U20" s="192">
        <f t="shared" si="3"/>
        <v>2383.4612344494285</v>
      </c>
      <c r="V20" s="192">
        <f t="shared" si="3"/>
        <v>2510.5963761308649</v>
      </c>
      <c r="W20" s="192">
        <f t="shared" si="3"/>
        <v>2646.8346433334023</v>
      </c>
      <c r="X20" s="192">
        <f t="shared" si="3"/>
        <v>2791.0889308949686</v>
      </c>
      <c r="Y20" s="192">
        <f t="shared" si="3"/>
        <v>2944.6453596866377</v>
      </c>
      <c r="Z20" s="192">
        <f t="shared" si="3"/>
        <v>3104.6778401243364</v>
      </c>
    </row>
    <row r="21" spans="1:26">
      <c r="A21" s="52"/>
      <c r="B21" s="17"/>
      <c r="C21" s="17"/>
      <c r="D21" s="17"/>
      <c r="E21" s="17"/>
      <c r="F21" s="17"/>
      <c r="G21" s="201"/>
      <c r="H21" s="199"/>
      <c r="I21" s="199"/>
      <c r="J21" s="199"/>
      <c r="K21" s="199"/>
      <c r="L21" s="199"/>
      <c r="M21" s="199"/>
      <c r="N21" s="199"/>
      <c r="O21" s="199"/>
      <c r="P21" s="199"/>
      <c r="Q21" s="199"/>
    </row>
    <row r="22" spans="1:26">
      <c r="A22" s="203">
        <v>4</v>
      </c>
      <c r="B22" s="204" t="s">
        <v>396</v>
      </c>
      <c r="C22" s="204"/>
      <c r="D22" s="204"/>
      <c r="E22" s="204"/>
      <c r="F22" s="204"/>
      <c r="G22" s="205"/>
      <c r="H22" s="206">
        <f t="shared" ref="H22:Z22" si="4">H10-H20</f>
        <v>1695.2914203731743</v>
      </c>
      <c r="I22" s="206">
        <f t="shared" si="4"/>
        <v>1324.8657908604116</v>
      </c>
      <c r="J22" s="206">
        <f t="shared" si="4"/>
        <v>1598.4877630101696</v>
      </c>
      <c r="K22" s="206">
        <f t="shared" si="4"/>
        <v>1692.3199063431914</v>
      </c>
      <c r="L22" s="206">
        <f t="shared" si="4"/>
        <v>1794.0825139891761</v>
      </c>
      <c r="M22" s="206">
        <f t="shared" si="4"/>
        <v>1900.67841021646</v>
      </c>
      <c r="N22" s="206">
        <f t="shared" si="4"/>
        <v>2013.8537306609735</v>
      </c>
      <c r="O22" s="206">
        <f t="shared" si="4"/>
        <v>2133.2468661273551</v>
      </c>
      <c r="P22" s="206">
        <f t="shared" si="4"/>
        <v>2257.8659615185529</v>
      </c>
      <c r="Q22" s="206">
        <f t="shared" si="4"/>
        <v>2395.4563366213879</v>
      </c>
      <c r="R22" s="206">
        <f t="shared" si="4"/>
        <v>2540.2669183544194</v>
      </c>
      <c r="S22" s="206">
        <f t="shared" si="4"/>
        <v>2693.3124546335348</v>
      </c>
      <c r="T22" s="206">
        <f t="shared" si="4"/>
        <v>2856.9591119606134</v>
      </c>
      <c r="U22" s="206">
        <f t="shared" si="4"/>
        <v>3030.7454159125132</v>
      </c>
      <c r="V22" s="206">
        <f t="shared" si="4"/>
        <v>3215.1437248929014</v>
      </c>
      <c r="W22" s="206">
        <f t="shared" si="4"/>
        <v>3408.3645431032724</v>
      </c>
      <c r="X22" s="206">
        <f t="shared" si="4"/>
        <v>3612.5264167292694</v>
      </c>
      <c r="Y22" s="206">
        <f t="shared" si="4"/>
        <v>3827.4340150398984</v>
      </c>
      <c r="Z22" s="206">
        <f t="shared" si="4"/>
        <v>4057.066981823963</v>
      </c>
    </row>
    <row r="23" spans="1:26">
      <c r="A23" s="52"/>
      <c r="B23" s="17" t="s">
        <v>392</v>
      </c>
      <c r="C23" s="17"/>
      <c r="D23" s="17"/>
      <c r="E23" s="17"/>
      <c r="F23" s="17"/>
      <c r="G23" s="201"/>
      <c r="H23" s="262">
        <f t="shared" ref="H23:Z23" si="5">H22/H10</f>
        <v>0.44117928952239405</v>
      </c>
      <c r="I23" s="262">
        <f t="shared" si="5"/>
        <v>0.53205457801052081</v>
      </c>
      <c r="J23" s="262">
        <f t="shared" si="5"/>
        <v>0.54631021414915693</v>
      </c>
      <c r="K23" s="262">
        <f t="shared" si="5"/>
        <v>0.54690974836845041</v>
      </c>
      <c r="L23" s="262">
        <f t="shared" si="5"/>
        <v>0.54825021663027151</v>
      </c>
      <c r="M23" s="262">
        <f t="shared" si="5"/>
        <v>0.54922239447364962</v>
      </c>
      <c r="N23" s="262">
        <f t="shared" si="5"/>
        <v>0.55026351311321597</v>
      </c>
      <c r="O23" s="262">
        <f t="shared" si="5"/>
        <v>0.5511719480828895</v>
      </c>
      <c r="P23" s="262">
        <f t="shared" si="5"/>
        <v>0.55162932204419202</v>
      </c>
      <c r="Q23" s="262">
        <f t="shared" si="5"/>
        <v>0.55340189627870229</v>
      </c>
      <c r="R23" s="262">
        <f t="shared" si="5"/>
        <v>0.55492582114157907</v>
      </c>
      <c r="S23" s="262">
        <f t="shared" si="5"/>
        <v>0.5563467012403599</v>
      </c>
      <c r="T23" s="262">
        <f t="shared" si="5"/>
        <v>0.55804086071610315</v>
      </c>
      <c r="U23" s="262">
        <f t="shared" si="5"/>
        <v>0.55977645694589562</v>
      </c>
      <c r="V23" s="262">
        <f t="shared" si="5"/>
        <v>0.56152456593655575</v>
      </c>
      <c r="W23" s="262">
        <f t="shared" si="5"/>
        <v>0.56288231619825624</v>
      </c>
      <c r="X23" s="262">
        <f t="shared" si="5"/>
        <v>0.56413857182560601</v>
      </c>
      <c r="Y23" s="262">
        <f t="shared" si="5"/>
        <v>0.56517855200042666</v>
      </c>
      <c r="Z23" s="262">
        <f t="shared" si="5"/>
        <v>0.56649141831896044</v>
      </c>
    </row>
    <row r="24" spans="1:26">
      <c r="A24" s="52"/>
      <c r="B24" s="17" t="s">
        <v>391</v>
      </c>
      <c r="C24" s="17"/>
      <c r="D24" s="17"/>
      <c r="E24" s="17"/>
      <c r="F24" s="17"/>
      <c r="G24" s="201"/>
      <c r="H24" s="264">
        <f t="shared" ref="H24:Z24" si="6">H22/(H3*350000)*10^7</f>
        <v>69195.56817849692</v>
      </c>
      <c r="I24" s="264">
        <f t="shared" si="6"/>
        <v>42059.231455886082</v>
      </c>
      <c r="J24" s="264">
        <f t="shared" si="6"/>
        <v>45671.07894314771</v>
      </c>
      <c r="K24" s="264">
        <f t="shared" si="6"/>
        <v>48351.997324091186</v>
      </c>
      <c r="L24" s="264">
        <f t="shared" si="6"/>
        <v>51259.500399690747</v>
      </c>
      <c r="M24" s="264">
        <f t="shared" si="6"/>
        <v>54305.097434755997</v>
      </c>
      <c r="N24" s="264">
        <f t="shared" si="6"/>
        <v>57538.678018884959</v>
      </c>
      <c r="O24" s="264">
        <f t="shared" si="6"/>
        <v>60949.910460781583</v>
      </c>
      <c r="P24" s="264">
        <f t="shared" si="6"/>
        <v>64510.456043387232</v>
      </c>
      <c r="Q24" s="264">
        <f t="shared" si="6"/>
        <v>68441.609617753944</v>
      </c>
      <c r="R24" s="264">
        <f t="shared" si="6"/>
        <v>72579.054810126268</v>
      </c>
      <c r="S24" s="264">
        <f t="shared" si="6"/>
        <v>76951.784418101</v>
      </c>
      <c r="T24" s="264">
        <f t="shared" si="6"/>
        <v>81627.403198874672</v>
      </c>
      <c r="U24" s="264">
        <f t="shared" si="6"/>
        <v>86592.726168928959</v>
      </c>
      <c r="V24" s="264">
        <f t="shared" si="6"/>
        <v>91861.249282654317</v>
      </c>
      <c r="W24" s="264">
        <f t="shared" si="6"/>
        <v>97381.844088664933</v>
      </c>
      <c r="X24" s="264">
        <f t="shared" si="6"/>
        <v>103215.04047797911</v>
      </c>
      <c r="Y24" s="264">
        <f t="shared" si="6"/>
        <v>109355.25757256853</v>
      </c>
      <c r="Z24" s="264">
        <f t="shared" si="6"/>
        <v>115916.19948068466</v>
      </c>
    </row>
    <row r="25" spans="1:26">
      <c r="A25" s="194"/>
      <c r="B25" s="195" t="s">
        <v>32</v>
      </c>
      <c r="C25" s="182">
        <f>-C8</f>
        <v>-207.97</v>
      </c>
      <c r="D25" s="182">
        <f>-D8</f>
        <v>-1039.8599999999999</v>
      </c>
      <c r="E25" s="182">
        <f>-E8</f>
        <v>-1455.81</v>
      </c>
      <c r="F25" s="182">
        <f>-F8</f>
        <v>-1455.81</v>
      </c>
      <c r="G25" s="196"/>
      <c r="H25" s="197">
        <f>H22+SUM(C25:F25)</f>
        <v>-2464.1585796268255</v>
      </c>
      <c r="I25" s="197">
        <f t="shared" ref="I25:Z25" si="7">I22</f>
        <v>1324.8657908604116</v>
      </c>
      <c r="J25" s="197">
        <f t="shared" si="7"/>
        <v>1598.4877630101696</v>
      </c>
      <c r="K25" s="197">
        <f t="shared" si="7"/>
        <v>1692.3199063431914</v>
      </c>
      <c r="L25" s="197">
        <f t="shared" si="7"/>
        <v>1794.0825139891761</v>
      </c>
      <c r="M25" s="197">
        <f t="shared" si="7"/>
        <v>1900.67841021646</v>
      </c>
      <c r="N25" s="197">
        <f t="shared" si="7"/>
        <v>2013.8537306609735</v>
      </c>
      <c r="O25" s="197">
        <f t="shared" si="7"/>
        <v>2133.2468661273551</v>
      </c>
      <c r="P25" s="197">
        <f t="shared" si="7"/>
        <v>2257.8659615185529</v>
      </c>
      <c r="Q25" s="197">
        <f t="shared" si="7"/>
        <v>2395.4563366213879</v>
      </c>
      <c r="R25" s="197">
        <f t="shared" si="7"/>
        <v>2540.2669183544194</v>
      </c>
      <c r="S25" s="197">
        <f t="shared" si="7"/>
        <v>2693.3124546335348</v>
      </c>
      <c r="T25" s="197">
        <f t="shared" si="7"/>
        <v>2856.9591119606134</v>
      </c>
      <c r="U25" s="197">
        <f t="shared" si="7"/>
        <v>3030.7454159125132</v>
      </c>
      <c r="V25" s="197">
        <f t="shared" si="7"/>
        <v>3215.1437248929014</v>
      </c>
      <c r="W25" s="197">
        <f t="shared" si="7"/>
        <v>3408.3645431032724</v>
      </c>
      <c r="X25" s="197">
        <f t="shared" si="7"/>
        <v>3612.5264167292694</v>
      </c>
      <c r="Y25" s="197">
        <f t="shared" si="7"/>
        <v>3827.4340150398984</v>
      </c>
      <c r="Z25" s="197">
        <f t="shared" si="7"/>
        <v>4057.066981823963</v>
      </c>
    </row>
    <row r="26" spans="1:26">
      <c r="A26" s="52"/>
      <c r="B26" s="17"/>
      <c r="C26" s="17"/>
      <c r="D26" s="17"/>
      <c r="E26" s="17"/>
      <c r="F26" s="17"/>
      <c r="G26" s="201"/>
      <c r="H26" s="199"/>
      <c r="I26" s="199"/>
      <c r="J26" s="199"/>
      <c r="K26" s="199"/>
      <c r="L26" s="199"/>
      <c r="M26" s="199"/>
      <c r="N26" s="199"/>
      <c r="O26" s="199"/>
      <c r="P26" s="199"/>
      <c r="Q26" s="199"/>
      <c r="R26" s="199"/>
      <c r="S26" s="199"/>
      <c r="T26" s="199"/>
      <c r="U26" s="199"/>
      <c r="V26" s="199"/>
      <c r="W26" s="199"/>
      <c r="X26" s="199"/>
      <c r="Y26" s="199"/>
      <c r="Z26" s="199"/>
    </row>
    <row r="27" spans="1:26">
      <c r="A27" s="52"/>
      <c r="B27" s="17" t="s">
        <v>33</v>
      </c>
      <c r="C27" s="17"/>
      <c r="D27" s="17"/>
      <c r="E27" s="17"/>
      <c r="F27" s="17"/>
      <c r="G27" s="201">
        <v>1</v>
      </c>
      <c r="H27" s="199">
        <f>G27/(1+0.1)</f>
        <v>0.90909090909090906</v>
      </c>
      <c r="I27" s="199">
        <f>H27/(1+0.1)</f>
        <v>0.82644628099173545</v>
      </c>
      <c r="J27" s="199">
        <f t="shared" ref="J27:Z27" si="8">I27/(1+0.1)</f>
        <v>0.75131480090157765</v>
      </c>
      <c r="K27" s="199">
        <f t="shared" si="8"/>
        <v>0.68301345536507052</v>
      </c>
      <c r="L27" s="199">
        <f t="shared" si="8"/>
        <v>0.62092132305915493</v>
      </c>
      <c r="M27" s="199">
        <f t="shared" si="8"/>
        <v>0.56447393005377711</v>
      </c>
      <c r="N27" s="199">
        <f t="shared" si="8"/>
        <v>0.51315811823070645</v>
      </c>
      <c r="O27" s="199">
        <f t="shared" si="8"/>
        <v>0.46650738020973309</v>
      </c>
      <c r="P27" s="199">
        <f t="shared" si="8"/>
        <v>0.42409761837248461</v>
      </c>
      <c r="Q27" s="199">
        <f t="shared" si="8"/>
        <v>0.38554328942953142</v>
      </c>
      <c r="R27" s="199">
        <f t="shared" si="8"/>
        <v>0.35049389948139215</v>
      </c>
      <c r="S27" s="199">
        <f t="shared" si="8"/>
        <v>0.31863081771035645</v>
      </c>
      <c r="T27" s="199">
        <f t="shared" si="8"/>
        <v>0.28966437973668768</v>
      </c>
      <c r="U27" s="199">
        <f t="shared" si="8"/>
        <v>0.26333125430607968</v>
      </c>
      <c r="V27" s="199">
        <f t="shared" si="8"/>
        <v>0.23939204936916333</v>
      </c>
      <c r="W27" s="199">
        <f t="shared" si="8"/>
        <v>0.21762913579014848</v>
      </c>
      <c r="X27" s="199">
        <f t="shared" si="8"/>
        <v>0.19784466890013497</v>
      </c>
      <c r="Y27" s="199">
        <f t="shared" si="8"/>
        <v>0.17985878990921358</v>
      </c>
      <c r="Z27" s="199">
        <f t="shared" si="8"/>
        <v>0.16350799082655779</v>
      </c>
    </row>
    <row r="28" spans="1:26">
      <c r="A28" s="52"/>
      <c r="B28" s="17" t="s">
        <v>34</v>
      </c>
      <c r="C28" s="182"/>
      <c r="D28" s="182"/>
      <c r="E28" s="182"/>
      <c r="F28" s="182"/>
      <c r="G28" s="211"/>
      <c r="H28" s="202">
        <f>H25*H27</f>
        <v>-2240.1441632971141</v>
      </c>
      <c r="I28" s="202">
        <f t="shared" ref="I28:Z28" si="9">I25*I27</f>
        <v>1094.9304056697615</v>
      </c>
      <c r="J28" s="202">
        <f t="shared" si="9"/>
        <v>1200.9675154095937</v>
      </c>
      <c r="K28" s="202">
        <f t="shared" si="9"/>
        <v>1155.8772668145557</v>
      </c>
      <c r="L28" s="202">
        <f t="shared" si="9"/>
        <v>1113.9840882634539</v>
      </c>
      <c r="M28" s="202">
        <f t="shared" si="9"/>
        <v>1072.8834119832502</v>
      </c>
      <c r="N28" s="202">
        <f t="shared" si="9"/>
        <v>1033.425390817873</v>
      </c>
      <c r="O28" s="202">
        <f t="shared" si="9"/>
        <v>995.17540685769563</v>
      </c>
      <c r="P28" s="202">
        <f t="shared" si="9"/>
        <v>957.55557688431827</v>
      </c>
      <c r="Q28" s="202">
        <f t="shared" si="9"/>
        <v>923.5521157058248</v>
      </c>
      <c r="R28" s="202">
        <f t="shared" si="9"/>
        <v>890.34805793761973</v>
      </c>
      <c r="S28" s="202">
        <f t="shared" si="9"/>
        <v>858.1723497693705</v>
      </c>
      <c r="T28" s="202">
        <f t="shared" si="9"/>
        <v>827.55928909914917</v>
      </c>
      <c r="U28" s="202">
        <f t="shared" si="9"/>
        <v>798.08999185464324</v>
      </c>
      <c r="V28" s="202">
        <f t="shared" si="9"/>
        <v>769.67984531851721</v>
      </c>
      <c r="W28" s="202">
        <f t="shared" si="9"/>
        <v>741.75942997334937</v>
      </c>
      <c r="X28" s="202">
        <f t="shared" si="9"/>
        <v>714.71909281079331</v>
      </c>
      <c r="Y28" s="202">
        <f t="shared" si="9"/>
        <v>688.3976504024389</v>
      </c>
      <c r="Z28" s="202">
        <f t="shared" si="9"/>
        <v>663.36287084680305</v>
      </c>
    </row>
    <row r="29" spans="1:26">
      <c r="A29" s="52"/>
      <c r="B29" s="17" t="s">
        <v>35</v>
      </c>
      <c r="C29" s="17"/>
      <c r="D29" s="17"/>
      <c r="E29" s="17"/>
      <c r="F29" s="17"/>
      <c r="G29" s="211"/>
      <c r="H29" s="202">
        <f>H25</f>
        <v>-2464.1585796268255</v>
      </c>
      <c r="I29" s="202">
        <f t="shared" ref="I29:Z29" si="10">I25</f>
        <v>1324.8657908604116</v>
      </c>
      <c r="J29" s="202">
        <f t="shared" si="10"/>
        <v>1598.4877630101696</v>
      </c>
      <c r="K29" s="202">
        <f t="shared" si="10"/>
        <v>1692.3199063431914</v>
      </c>
      <c r="L29" s="202">
        <f t="shared" si="10"/>
        <v>1794.0825139891761</v>
      </c>
      <c r="M29" s="202">
        <f t="shared" si="10"/>
        <v>1900.67841021646</v>
      </c>
      <c r="N29" s="202">
        <f t="shared" si="10"/>
        <v>2013.8537306609735</v>
      </c>
      <c r="O29" s="202">
        <f t="shared" si="10"/>
        <v>2133.2468661273551</v>
      </c>
      <c r="P29" s="202">
        <f t="shared" si="10"/>
        <v>2257.8659615185529</v>
      </c>
      <c r="Q29" s="202">
        <f t="shared" si="10"/>
        <v>2395.4563366213879</v>
      </c>
      <c r="R29" s="202">
        <f t="shared" si="10"/>
        <v>2540.2669183544194</v>
      </c>
      <c r="S29" s="202">
        <f t="shared" si="10"/>
        <v>2693.3124546335348</v>
      </c>
      <c r="T29" s="202">
        <f t="shared" si="10"/>
        <v>2856.9591119606134</v>
      </c>
      <c r="U29" s="202">
        <f t="shared" si="10"/>
        <v>3030.7454159125132</v>
      </c>
      <c r="V29" s="202">
        <f t="shared" si="10"/>
        <v>3215.1437248929014</v>
      </c>
      <c r="W29" s="202">
        <f t="shared" si="10"/>
        <v>3408.3645431032724</v>
      </c>
      <c r="X29" s="202">
        <f t="shared" si="10"/>
        <v>3612.5264167292694</v>
      </c>
      <c r="Y29" s="202">
        <f t="shared" si="10"/>
        <v>3827.4340150398984</v>
      </c>
      <c r="Z29" s="202">
        <f t="shared" si="10"/>
        <v>4057.066981823963</v>
      </c>
    </row>
    <row r="30" spans="1:26">
      <c r="A30" s="53"/>
      <c r="B30" s="55" t="s">
        <v>448</v>
      </c>
      <c r="C30" s="55"/>
      <c r="D30" s="55"/>
      <c r="E30" s="55"/>
      <c r="F30" s="55"/>
      <c r="G30" s="212"/>
      <c r="H30" s="213">
        <f>H25</f>
        <v>-2464.1585796268255</v>
      </c>
      <c r="I30" s="213">
        <f>H30+I25</f>
        <v>-1139.2927887664139</v>
      </c>
      <c r="J30" s="213">
        <f t="shared" ref="J30:Z30" si="11">I30+J25</f>
        <v>459.19497424375572</v>
      </c>
      <c r="K30" s="213">
        <f t="shared" si="11"/>
        <v>2151.5148805869471</v>
      </c>
      <c r="L30" s="213">
        <f t="shared" si="11"/>
        <v>3945.5973945761234</v>
      </c>
      <c r="M30" s="213">
        <f t="shared" si="11"/>
        <v>5846.2758047925836</v>
      </c>
      <c r="N30" s="213">
        <f t="shared" si="11"/>
        <v>7860.1295354535569</v>
      </c>
      <c r="O30" s="213">
        <f t="shared" si="11"/>
        <v>9993.376401580912</v>
      </c>
      <c r="P30" s="213">
        <f t="shared" si="11"/>
        <v>12251.242363099465</v>
      </c>
      <c r="Q30" s="213">
        <f t="shared" si="11"/>
        <v>14646.698699720853</v>
      </c>
      <c r="R30" s="213">
        <f t="shared" si="11"/>
        <v>17186.965618075272</v>
      </c>
      <c r="S30" s="213">
        <f t="shared" si="11"/>
        <v>19880.278072708807</v>
      </c>
      <c r="T30" s="213">
        <f t="shared" si="11"/>
        <v>22737.237184669419</v>
      </c>
      <c r="U30" s="213">
        <f t="shared" si="11"/>
        <v>25767.98260058193</v>
      </c>
      <c r="V30" s="213">
        <f t="shared" si="11"/>
        <v>28983.126325474834</v>
      </c>
      <c r="W30" s="213">
        <f t="shared" si="11"/>
        <v>32391.490868578105</v>
      </c>
      <c r="X30" s="213">
        <f t="shared" si="11"/>
        <v>36004.017285307375</v>
      </c>
      <c r="Y30" s="213">
        <f t="shared" si="11"/>
        <v>39831.451300347275</v>
      </c>
      <c r="Z30" s="213">
        <f t="shared" si="11"/>
        <v>43888.518282171237</v>
      </c>
    </row>
    <row r="31" spans="1:26">
      <c r="A31" s="52"/>
      <c r="B31" s="17"/>
      <c r="C31" s="17"/>
      <c r="D31" s="17"/>
      <c r="E31" s="17"/>
      <c r="F31" s="17"/>
      <c r="G31" s="201"/>
      <c r="H31" s="202"/>
      <c r="I31" s="202"/>
      <c r="J31" s="202"/>
      <c r="K31" s="202"/>
      <c r="L31" s="202"/>
      <c r="M31" s="202"/>
      <c r="N31" s="202"/>
      <c r="O31" s="202"/>
      <c r="P31" s="202"/>
      <c r="Q31" s="202"/>
      <c r="R31" s="202"/>
      <c r="S31" s="202"/>
      <c r="T31" s="202"/>
      <c r="U31" s="202"/>
      <c r="V31" s="202"/>
      <c r="W31" s="202"/>
      <c r="X31" s="202"/>
      <c r="Y31" s="202"/>
      <c r="Z31" s="202"/>
    </row>
    <row r="32" spans="1:26">
      <c r="A32" s="52"/>
      <c r="B32" s="17"/>
      <c r="C32" s="17"/>
      <c r="D32" s="17"/>
      <c r="E32" s="17"/>
      <c r="F32" s="17"/>
      <c r="G32" s="201"/>
      <c r="H32" s="202"/>
      <c r="I32" s="202"/>
      <c r="J32" s="202"/>
      <c r="K32" s="202"/>
      <c r="L32" s="202"/>
      <c r="M32" s="202"/>
      <c r="N32" s="202"/>
      <c r="O32" s="202"/>
      <c r="P32" s="202"/>
      <c r="Q32" s="202"/>
      <c r="R32" s="202"/>
      <c r="S32" s="202"/>
      <c r="T32" s="202"/>
      <c r="U32" s="202"/>
      <c r="V32" s="202"/>
      <c r="W32" s="202"/>
      <c r="X32" s="202"/>
      <c r="Y32" s="202"/>
      <c r="Z32" s="202"/>
    </row>
    <row r="33" spans="1:27">
      <c r="A33" s="52"/>
      <c r="B33" s="214" t="s">
        <v>36</v>
      </c>
      <c r="C33" s="215"/>
      <c r="D33" s="215"/>
      <c r="E33" s="215"/>
      <c r="F33" s="215"/>
      <c r="G33" s="298">
        <f>NPV(0%,(H28:Z28))</f>
        <v>14260.295593121897</v>
      </c>
      <c r="H33" s="216"/>
      <c r="I33" s="199"/>
      <c r="J33" s="199"/>
      <c r="K33" s="199"/>
      <c r="L33" s="199"/>
      <c r="M33" s="199"/>
      <c r="N33" s="199"/>
      <c r="O33" s="199"/>
      <c r="P33" s="199"/>
      <c r="Q33" s="199"/>
      <c r="R33" s="199"/>
      <c r="S33" s="199"/>
      <c r="T33" s="199"/>
      <c r="U33" s="199"/>
      <c r="V33" s="199"/>
      <c r="W33" s="199"/>
      <c r="X33" s="199"/>
      <c r="Y33" s="199"/>
      <c r="Z33" s="199"/>
    </row>
    <row r="34" spans="1:27">
      <c r="A34" s="52"/>
      <c r="B34" s="217" t="s">
        <v>37</v>
      </c>
      <c r="C34" s="218"/>
      <c r="D34" s="218"/>
      <c r="E34" s="218"/>
      <c r="F34" s="218"/>
      <c r="G34" s="300">
        <f>IRR(C25:Z25,0.1)</f>
        <v>0.21555853944466197</v>
      </c>
      <c r="H34" s="219"/>
      <c r="I34" s="199"/>
      <c r="J34" s="199"/>
      <c r="K34" s="199"/>
      <c r="L34" s="199"/>
      <c r="M34" s="199"/>
      <c r="N34" s="199"/>
      <c r="O34" s="199"/>
      <c r="P34" s="199"/>
      <c r="Q34" s="199"/>
      <c r="R34" s="199"/>
      <c r="S34" s="199"/>
      <c r="T34" s="199"/>
      <c r="U34" s="199"/>
      <c r="V34" s="199"/>
      <c r="W34" s="199"/>
      <c r="X34" s="199"/>
      <c r="Y34" s="199"/>
      <c r="Z34" s="199"/>
    </row>
    <row r="35" spans="1:27">
      <c r="A35" s="52"/>
      <c r="B35" s="220" t="s">
        <v>400</v>
      </c>
      <c r="C35" s="221"/>
      <c r="D35" s="221"/>
      <c r="E35" s="221"/>
      <c r="F35" s="221"/>
      <c r="G35" s="299">
        <f>IF(SUM(H40:Z40)&lt;=25,SUM(H40:Z40)," N/A ")</f>
        <v>2.7127316299381428</v>
      </c>
      <c r="H35" s="222"/>
      <c r="I35" s="199"/>
      <c r="J35" s="199"/>
      <c r="K35" s="199"/>
      <c r="L35" s="199"/>
      <c r="M35" s="199"/>
      <c r="N35" s="199"/>
      <c r="O35" s="199"/>
      <c r="P35" s="199"/>
      <c r="Q35" s="199"/>
      <c r="R35" s="199"/>
      <c r="S35" s="199"/>
      <c r="T35" s="199"/>
      <c r="U35" s="199"/>
      <c r="V35" s="199"/>
      <c r="W35" s="199"/>
      <c r="X35" s="199"/>
      <c r="Y35" s="199"/>
      <c r="Z35" s="199"/>
    </row>
    <row r="36" spans="1:27" ht="16.5" customHeight="1">
      <c r="A36" s="52"/>
      <c r="B36" s="307" t="s">
        <v>401</v>
      </c>
      <c r="C36" s="308"/>
      <c r="D36" s="308"/>
      <c r="E36" s="308"/>
      <c r="F36" s="308"/>
      <c r="G36" s="309">
        <f>IF(SUM(H41:Z41)&lt;=25,SUM(H41:Z41)," N/A ")</f>
        <v>2.948645799447668</v>
      </c>
      <c r="H36" s="310"/>
      <c r="I36" s="199"/>
      <c r="J36" s="199"/>
      <c r="K36" s="199"/>
      <c r="L36" s="199"/>
      <c r="M36" s="199"/>
      <c r="N36" s="199"/>
      <c r="O36" s="199"/>
      <c r="P36" s="199"/>
      <c r="Q36" s="199"/>
      <c r="R36" s="199"/>
      <c r="S36" s="199"/>
      <c r="T36" s="199"/>
      <c r="U36" s="199"/>
      <c r="V36" s="199"/>
      <c r="W36" s="199"/>
      <c r="X36" s="199"/>
      <c r="Y36" s="199"/>
      <c r="Z36" s="199"/>
    </row>
    <row r="37" spans="1:27" ht="19.5" customHeight="1">
      <c r="A37" s="286"/>
      <c r="H37" s="223">
        <v>1</v>
      </c>
      <c r="I37" s="301">
        <v>2</v>
      </c>
      <c r="J37" s="301">
        <v>3</v>
      </c>
      <c r="K37" s="301">
        <v>4</v>
      </c>
      <c r="L37" s="301">
        <v>5</v>
      </c>
      <c r="M37" s="301">
        <v>6</v>
      </c>
      <c r="N37" s="301">
        <v>7</v>
      </c>
      <c r="O37" s="301">
        <v>8</v>
      </c>
      <c r="P37" s="301">
        <v>9</v>
      </c>
      <c r="Q37" s="301">
        <v>10</v>
      </c>
      <c r="R37" s="301">
        <v>11</v>
      </c>
      <c r="S37" s="301">
        <v>12</v>
      </c>
      <c r="T37" s="301">
        <v>13</v>
      </c>
      <c r="U37" s="301">
        <v>14</v>
      </c>
      <c r="V37" s="301">
        <v>15</v>
      </c>
      <c r="W37" s="301">
        <v>16</v>
      </c>
      <c r="X37" s="301">
        <v>17</v>
      </c>
      <c r="Y37" s="301">
        <v>18</v>
      </c>
      <c r="Z37" s="302">
        <v>19</v>
      </c>
    </row>
    <row r="38" spans="1:27" ht="14.25" customHeight="1">
      <c r="A38" s="2"/>
      <c r="B38" s="303" t="s">
        <v>402</v>
      </c>
      <c r="H38" s="223">
        <f t="shared" ref="H38:Z38" si="12">IF(H30&lt;0,1,IF(H29=0,0,-G30/H29))</f>
        <v>1</v>
      </c>
      <c r="I38" s="223">
        <f t="shared" si="12"/>
        <v>1</v>
      </c>
      <c r="J38" s="223">
        <f t="shared" si="12"/>
        <v>0.71273162993814276</v>
      </c>
      <c r="K38" s="223">
        <f t="shared" si="12"/>
        <v>-0.27134052641146089</v>
      </c>
      <c r="L38" s="223">
        <f t="shared" si="12"/>
        <v>-1.1992284991413318</v>
      </c>
      <c r="M38" s="223">
        <f t="shared" si="12"/>
        <v>-2.075888994880926</v>
      </c>
      <c r="N38" s="223">
        <f t="shared" si="12"/>
        <v>-2.9030290113839392</v>
      </c>
      <c r="O38" s="223">
        <f t="shared" si="12"/>
        <v>-3.6845850615136007</v>
      </c>
      <c r="P38" s="223">
        <f t="shared" si="12"/>
        <v>-4.4260273071567786</v>
      </c>
      <c r="Q38" s="223">
        <f t="shared" si="12"/>
        <v>-5.114366801767269</v>
      </c>
      <c r="R38" s="223">
        <f t="shared" si="12"/>
        <v>-5.7658109051032165</v>
      </c>
      <c r="S38" s="223">
        <f t="shared" si="12"/>
        <v>-6.3813485837883652</v>
      </c>
      <c r="T38" s="223">
        <f t="shared" si="12"/>
        <v>-6.9585448351291905</v>
      </c>
      <c r="U38" s="223">
        <f t="shared" si="12"/>
        <v>-7.5021930464006221</v>
      </c>
      <c r="V38" s="223">
        <f t="shared" si="12"/>
        <v>-8.0145663166085299</v>
      </c>
      <c r="W38" s="223">
        <f t="shared" si="12"/>
        <v>-8.5035288798909008</v>
      </c>
      <c r="X38" s="223">
        <f t="shared" si="12"/>
        <v>-8.9664370947091658</v>
      </c>
      <c r="Y38" s="223">
        <f t="shared" si="12"/>
        <v>-9.4068289992275815</v>
      </c>
      <c r="Z38" s="306">
        <f t="shared" si="12"/>
        <v>-9.8177948450927417</v>
      </c>
    </row>
    <row r="39" spans="1:27">
      <c r="A39" s="63"/>
      <c r="B39" s="303" t="s">
        <v>403</v>
      </c>
      <c r="H39" s="223">
        <f>IF(H30&lt;0,1,IF(H28=0,0,-G30/H28))</f>
        <v>1</v>
      </c>
      <c r="I39" s="223">
        <f>IF(I30&lt;0,1,IF(I28=0,0,-H30/I28))</f>
        <v>1</v>
      </c>
      <c r="J39" s="223">
        <f t="shared" ref="J39:Z39" si="13">IF(J30&lt;0,1,IF(J28=0,0,-I30/J28))</f>
        <v>0.94864579944766825</v>
      </c>
      <c r="K39" s="223">
        <f t="shared" si="13"/>
        <v>-0.39726966471901998</v>
      </c>
      <c r="L39" s="223">
        <f t="shared" si="13"/>
        <v>-1.9313694901521072</v>
      </c>
      <c r="M39" s="223">
        <f t="shared" si="13"/>
        <v>-3.6775639836602507</v>
      </c>
      <c r="N39" s="223">
        <f t="shared" si="13"/>
        <v>-5.6571822762799808</v>
      </c>
      <c r="O39" s="223">
        <f t="shared" si="13"/>
        <v>-7.8982353073537217</v>
      </c>
      <c r="P39" s="223">
        <f t="shared" si="13"/>
        <v>-10.436340869213282</v>
      </c>
      <c r="Q39" s="223">
        <f t="shared" si="13"/>
        <v>-13.265350330269616</v>
      </c>
      <c r="R39" s="223">
        <f t="shared" si="13"/>
        <v>-16.450531417621221</v>
      </c>
      <c r="S39" s="223">
        <f t="shared" si="13"/>
        <v>-20.027405477109792</v>
      </c>
      <c r="T39" s="223">
        <f t="shared" si="13"/>
        <v>-24.022784028380311</v>
      </c>
      <c r="U39" s="223">
        <f t="shared" si="13"/>
        <v>-28.489565608799879</v>
      </c>
      <c r="V39" s="223">
        <f t="shared" si="13"/>
        <v>-33.478832474713364</v>
      </c>
      <c r="W39" s="223">
        <f t="shared" si="13"/>
        <v>-39.073485491807183</v>
      </c>
      <c r="X39" s="223">
        <f t="shared" si="13"/>
        <v>-45.320589857465947</v>
      </c>
      <c r="Y39" s="223">
        <f t="shared" si="13"/>
        <v>-52.30119141786632</v>
      </c>
      <c r="Z39" s="306">
        <f t="shared" si="13"/>
        <v>-60.04474029350061</v>
      </c>
    </row>
    <row r="40" spans="1:27">
      <c r="A40" s="2"/>
      <c r="B40" s="303" t="s">
        <v>404</v>
      </c>
      <c r="H40" s="296">
        <f>IF(H38&gt;0,H38,0)</f>
        <v>1</v>
      </c>
      <c r="I40" s="296">
        <f t="shared" ref="I40:Z41" si="14">IF(I38&gt;0,I38,0)</f>
        <v>1</v>
      </c>
      <c r="J40" s="296">
        <f t="shared" si="14"/>
        <v>0.71273162993814276</v>
      </c>
      <c r="K40" s="296">
        <f t="shared" si="14"/>
        <v>0</v>
      </c>
      <c r="L40" s="296">
        <f t="shared" si="14"/>
        <v>0</v>
      </c>
      <c r="M40" s="296">
        <f t="shared" si="14"/>
        <v>0</v>
      </c>
      <c r="N40" s="296">
        <f t="shared" si="14"/>
        <v>0</v>
      </c>
      <c r="O40" s="296">
        <f t="shared" si="14"/>
        <v>0</v>
      </c>
      <c r="P40" s="296">
        <f t="shared" si="14"/>
        <v>0</v>
      </c>
      <c r="Q40" s="296">
        <f t="shared" si="14"/>
        <v>0</v>
      </c>
      <c r="R40" s="296">
        <f t="shared" si="14"/>
        <v>0</v>
      </c>
      <c r="S40" s="296">
        <f t="shared" si="14"/>
        <v>0</v>
      </c>
      <c r="T40" s="296">
        <f t="shared" si="14"/>
        <v>0</v>
      </c>
      <c r="U40" s="296">
        <f t="shared" si="14"/>
        <v>0</v>
      </c>
      <c r="V40" s="296">
        <f t="shared" si="14"/>
        <v>0</v>
      </c>
      <c r="W40" s="296">
        <f t="shared" si="14"/>
        <v>0</v>
      </c>
      <c r="X40" s="296">
        <f t="shared" si="14"/>
        <v>0</v>
      </c>
      <c r="Y40" s="296">
        <f t="shared" si="14"/>
        <v>0</v>
      </c>
      <c r="Z40" s="297">
        <f t="shared" si="14"/>
        <v>0</v>
      </c>
      <c r="AA40" s="297"/>
    </row>
    <row r="41" spans="1:27">
      <c r="A41" s="2"/>
      <c r="B41" s="295" t="s">
        <v>405</v>
      </c>
      <c r="C41" s="225"/>
      <c r="D41" s="225"/>
      <c r="E41" s="225"/>
      <c r="F41" s="225"/>
      <c r="G41" s="225"/>
      <c r="H41" s="304">
        <f>IF(H39&gt;0,H39,0)</f>
        <v>1</v>
      </c>
      <c r="I41" s="304">
        <f t="shared" si="14"/>
        <v>1</v>
      </c>
      <c r="J41" s="304">
        <f t="shared" si="14"/>
        <v>0.94864579944766825</v>
      </c>
      <c r="K41" s="304">
        <f t="shared" si="14"/>
        <v>0</v>
      </c>
      <c r="L41" s="304">
        <f t="shared" si="14"/>
        <v>0</v>
      </c>
      <c r="M41" s="304">
        <f t="shared" si="14"/>
        <v>0</v>
      </c>
      <c r="N41" s="304">
        <f t="shared" si="14"/>
        <v>0</v>
      </c>
      <c r="O41" s="304">
        <f t="shared" si="14"/>
        <v>0</v>
      </c>
      <c r="P41" s="304">
        <f t="shared" si="14"/>
        <v>0</v>
      </c>
      <c r="Q41" s="304">
        <f t="shared" si="14"/>
        <v>0</v>
      </c>
      <c r="R41" s="304">
        <f t="shared" si="14"/>
        <v>0</v>
      </c>
      <c r="S41" s="304">
        <f t="shared" si="14"/>
        <v>0</v>
      </c>
      <c r="T41" s="304">
        <f t="shared" si="14"/>
        <v>0</v>
      </c>
      <c r="U41" s="304">
        <f t="shared" si="14"/>
        <v>0</v>
      </c>
      <c r="V41" s="304">
        <f t="shared" si="14"/>
        <v>0</v>
      </c>
      <c r="W41" s="304">
        <f t="shared" si="14"/>
        <v>0</v>
      </c>
      <c r="X41" s="304">
        <f t="shared" si="14"/>
        <v>0</v>
      </c>
      <c r="Y41" s="304">
        <f t="shared" si="14"/>
        <v>0</v>
      </c>
      <c r="Z41" s="305">
        <f t="shared" si="14"/>
        <v>0</v>
      </c>
    </row>
    <row r="42" spans="1:27">
      <c r="H42" s="1"/>
      <c r="I42" s="1"/>
      <c r="J42" s="1"/>
      <c r="K42" s="1"/>
      <c r="L42" s="1"/>
      <c r="M42" s="1"/>
      <c r="N42" s="1"/>
      <c r="O42" s="1"/>
      <c r="P42" s="1"/>
      <c r="Q42" s="1"/>
      <c r="R42" s="1"/>
      <c r="S42" s="1"/>
      <c r="T42" s="1"/>
      <c r="U42" s="1"/>
      <c r="V42" s="1"/>
      <c r="W42" s="1"/>
      <c r="X42" s="1"/>
      <c r="Y42" s="1"/>
      <c r="Z42" s="1"/>
    </row>
    <row r="43" spans="1:27">
      <c r="A43" s="1"/>
      <c r="H43" s="1"/>
      <c r="I43" s="1"/>
      <c r="J43" s="1"/>
      <c r="K43" s="1"/>
      <c r="L43" s="1"/>
      <c r="M43" s="1"/>
      <c r="N43" s="1"/>
      <c r="O43" s="1"/>
      <c r="P43" s="1"/>
      <c r="Q43" s="1"/>
      <c r="R43" s="1"/>
      <c r="S43" s="1"/>
      <c r="T43" s="1"/>
      <c r="U43" s="1"/>
      <c r="V43" s="1"/>
      <c r="W43" s="1"/>
      <c r="X43" s="1"/>
      <c r="Y43" s="1"/>
      <c r="Z43" s="1"/>
    </row>
    <row r="44" spans="1:27">
      <c r="A44" s="1"/>
      <c r="I44" s="229"/>
      <c r="J44" s="1093"/>
      <c r="K44" s="1093"/>
      <c r="L44" s="1093"/>
      <c r="M44" s="1093"/>
      <c r="N44" s="1093"/>
    </row>
    <row r="45" spans="1:27">
      <c r="A45" s="1"/>
      <c r="B45" s="227" t="s">
        <v>399</v>
      </c>
      <c r="C45" s="228">
        <v>4.4999999999999998E-2</v>
      </c>
      <c r="H45" s="32">
        <f>(H20*10^7)/350000*70%</f>
        <v>42946.891592536515</v>
      </c>
      <c r="I45" s="32">
        <f>(I20*10^7/350000*90%)</f>
        <v>29963.005219266764</v>
      </c>
    </row>
    <row r="46" spans="1:27">
      <c r="A46" s="1"/>
      <c r="B46" s="227" t="s">
        <v>349</v>
      </c>
      <c r="C46" s="291">
        <v>4</v>
      </c>
      <c r="L46" s="226"/>
      <c r="M46" s="226"/>
      <c r="N46" s="226"/>
      <c r="O46" s="226"/>
      <c r="P46" s="226"/>
      <c r="Q46" s="226"/>
    </row>
    <row r="47" spans="1:27">
      <c r="A47" s="1"/>
    </row>
    <row r="48" spans="1:27">
      <c r="B48" s="287" t="s">
        <v>393</v>
      </c>
      <c r="C48" s="287"/>
      <c r="D48" s="287"/>
      <c r="E48" s="287"/>
      <c r="F48" s="287"/>
      <c r="G48" s="287"/>
      <c r="H48" s="158">
        <f t="shared" ref="H48:Z48" si="15">H10/(350000*H3)*10^7</f>
        <v>156842.28571428577</v>
      </c>
      <c r="I48" s="158">
        <f t="shared" si="15"/>
        <v>79050.595924116657</v>
      </c>
      <c r="J48" s="158">
        <f t="shared" si="15"/>
        <v>83599.167213590321</v>
      </c>
      <c r="K48" s="158">
        <f t="shared" si="15"/>
        <v>88409.463295060283</v>
      </c>
      <c r="L48" s="158">
        <f t="shared" si="15"/>
        <v>93496.543813058059</v>
      </c>
      <c r="M48" s="158">
        <f t="shared" si="15"/>
        <v>98876.334944061411</v>
      </c>
      <c r="N48" s="158">
        <f t="shared" si="15"/>
        <v>104565.67925674266</v>
      </c>
      <c r="O48" s="158">
        <f t="shared" si="15"/>
        <v>110582.38844117564</v>
      </c>
      <c r="P48" s="158">
        <f t="shared" si="15"/>
        <v>116945.29907208083</v>
      </c>
      <c r="Q48" s="158">
        <f t="shared" si="15"/>
        <v>123674.33158068836</v>
      </c>
      <c r="R48" s="158">
        <f t="shared" si="15"/>
        <v>130790.55261984115</v>
      </c>
      <c r="S48" s="158">
        <f t="shared" si="15"/>
        <v>138316.24101758681</v>
      </c>
      <c r="T48" s="158">
        <f t="shared" si="15"/>
        <v>146274.95752573875</v>
      </c>
      <c r="U48" s="158">
        <f t="shared" si="15"/>
        <v>154691.61858176976</v>
      </c>
      <c r="V48" s="158">
        <f t="shared" si="15"/>
        <v>163592.57431496476</v>
      </c>
      <c r="W48" s="158">
        <f t="shared" si="15"/>
        <v>173005.69104104786</v>
      </c>
      <c r="X48" s="158">
        <f t="shared" si="15"/>
        <v>182960.43850354964</v>
      </c>
      <c r="Y48" s="158">
        <f t="shared" si="15"/>
        <v>193487.98213504389</v>
      </c>
      <c r="Z48" s="288">
        <f t="shared" si="15"/>
        <v>204621.28062709427</v>
      </c>
    </row>
    <row r="49" spans="2:26">
      <c r="B49" s="1" t="s">
        <v>394</v>
      </c>
      <c r="H49" s="75">
        <f>H20/((350000))*10^7</f>
        <v>61352.702275052179</v>
      </c>
      <c r="I49" s="75">
        <f>I20/((350000))*10^7</f>
        <v>33292.228021407514</v>
      </c>
      <c r="J49" s="75">
        <f>J20/((350000))*10^7</f>
        <v>37928.088270442619</v>
      </c>
      <c r="K49" s="75">
        <f t="shared" ref="K49:Z49" si="16">K20/((350000))*10^7</f>
        <v>40057.465970969111</v>
      </c>
      <c r="L49" s="75">
        <f t="shared" si="16"/>
        <v>42237.043413367304</v>
      </c>
      <c r="M49" s="75">
        <f t="shared" si="16"/>
        <v>44571.2375093054</v>
      </c>
      <c r="N49" s="75">
        <f t="shared" si="16"/>
        <v>47027.001237857701</v>
      </c>
      <c r="O49" s="75">
        <f t="shared" si="16"/>
        <v>49632.477980394076</v>
      </c>
      <c r="P49" s="75">
        <f t="shared" si="16"/>
        <v>52434.843028693613</v>
      </c>
      <c r="Q49" s="75">
        <f t="shared" si="16"/>
        <v>55232.721962934418</v>
      </c>
      <c r="R49" s="75">
        <f t="shared" si="16"/>
        <v>58211.4978097149</v>
      </c>
      <c r="S49" s="75">
        <f t="shared" si="16"/>
        <v>61364.456599485828</v>
      </c>
      <c r="T49" s="75">
        <f t="shared" si="16"/>
        <v>64647.554326864069</v>
      </c>
      <c r="U49" s="75">
        <f t="shared" si="16"/>
        <v>68098.892412840811</v>
      </c>
      <c r="V49" s="75">
        <f t="shared" si="16"/>
        <v>71731.325032310429</v>
      </c>
      <c r="W49" s="75">
        <f t="shared" si="16"/>
        <v>75623.846952382926</v>
      </c>
      <c r="X49" s="75">
        <f t="shared" si="16"/>
        <v>79745.398025570525</v>
      </c>
      <c r="Y49" s="75">
        <f t="shared" si="16"/>
        <v>84132.724562475356</v>
      </c>
      <c r="Z49" s="75">
        <f t="shared" si="16"/>
        <v>88705.081146409604</v>
      </c>
    </row>
    <row r="50" spans="2:26">
      <c r="B50" s="225" t="s">
        <v>395</v>
      </c>
      <c r="C50" s="225"/>
      <c r="D50" s="225"/>
      <c r="E50" s="225"/>
      <c r="F50" s="225"/>
      <c r="G50" s="225"/>
      <c r="H50" s="289">
        <f>H48-H49</f>
        <v>95489.583439233596</v>
      </c>
      <c r="I50" s="289">
        <f t="shared" ref="I50:Z50" si="17">I48-I49</f>
        <v>45758.367902709142</v>
      </c>
      <c r="J50" s="289">
        <f t="shared" si="17"/>
        <v>45671.078943147702</v>
      </c>
      <c r="K50" s="289">
        <f t="shared" si="17"/>
        <v>48351.997324091171</v>
      </c>
      <c r="L50" s="289">
        <f t="shared" si="17"/>
        <v>51259.500399690754</v>
      </c>
      <c r="M50" s="289">
        <f t="shared" si="17"/>
        <v>54305.097434756011</v>
      </c>
      <c r="N50" s="289">
        <f t="shared" si="17"/>
        <v>57538.678018884959</v>
      </c>
      <c r="O50" s="289">
        <f t="shared" si="17"/>
        <v>60949.910460781568</v>
      </c>
      <c r="P50" s="289">
        <f t="shared" si="17"/>
        <v>64510.456043387218</v>
      </c>
      <c r="Q50" s="289">
        <f t="shared" si="17"/>
        <v>68441.609617753944</v>
      </c>
      <c r="R50" s="289">
        <f t="shared" si="17"/>
        <v>72579.054810126254</v>
      </c>
      <c r="S50" s="289">
        <f t="shared" si="17"/>
        <v>76951.784418100986</v>
      </c>
      <c r="T50" s="289">
        <f t="shared" si="17"/>
        <v>81627.403198874672</v>
      </c>
      <c r="U50" s="289">
        <f t="shared" si="17"/>
        <v>86592.726168928944</v>
      </c>
      <c r="V50" s="289">
        <f t="shared" si="17"/>
        <v>91861.249282654331</v>
      </c>
      <c r="W50" s="289">
        <f t="shared" si="17"/>
        <v>97381.844088664933</v>
      </c>
      <c r="X50" s="289">
        <f t="shared" si="17"/>
        <v>103215.04047797911</v>
      </c>
      <c r="Y50" s="289">
        <f t="shared" si="17"/>
        <v>109355.25757256853</v>
      </c>
      <c r="Z50" s="42">
        <f t="shared" si="17"/>
        <v>115916.19948068466</v>
      </c>
    </row>
    <row r="51" spans="2:26">
      <c r="I51" s="226"/>
      <c r="J51" s="226"/>
      <c r="K51" s="226"/>
      <c r="L51" s="226"/>
      <c r="M51" s="226"/>
      <c r="N51" s="226"/>
      <c r="P51" s="226"/>
    </row>
    <row r="52" spans="2:26">
      <c r="B52" s="1" t="s">
        <v>75</v>
      </c>
      <c r="I52" s="226"/>
      <c r="J52" s="226"/>
      <c r="K52" s="226"/>
      <c r="L52" s="226"/>
      <c r="M52" s="226"/>
      <c r="N52" s="226"/>
      <c r="P52" s="226"/>
    </row>
    <row r="53" spans="2:26">
      <c r="B53" s="1" t="s">
        <v>74</v>
      </c>
    </row>
    <row r="57" spans="2:26">
      <c r="B57" s="1" t="s">
        <v>38</v>
      </c>
    </row>
    <row r="58" spans="2:26">
      <c r="B58" s="1" t="s">
        <v>39</v>
      </c>
    </row>
    <row r="59" spans="2:26">
      <c r="B59" s="1" t="s">
        <v>40</v>
      </c>
    </row>
    <row r="63" spans="2:26">
      <c r="H63" s="199"/>
      <c r="I63" s="199"/>
      <c r="J63" s="199"/>
      <c r="K63" s="199"/>
      <c r="L63" s="199"/>
      <c r="M63" s="199"/>
    </row>
    <row r="64" spans="2:26">
      <c r="H64" s="231"/>
      <c r="I64" s="231"/>
      <c r="J64" s="231"/>
      <c r="K64" s="231"/>
      <c r="L64" s="231">
        <v>0.05</v>
      </c>
      <c r="M64" s="231"/>
    </row>
    <row r="65" spans="8:13">
      <c r="H65" s="231"/>
      <c r="I65" s="231"/>
      <c r="J65" s="231"/>
      <c r="K65" s="231"/>
      <c r="L65" s="231"/>
      <c r="M65" s="231"/>
    </row>
  </sheetData>
  <mergeCells count="9">
    <mergeCell ref="R4:Z4"/>
    <mergeCell ref="B5:B6"/>
    <mergeCell ref="A7:G7"/>
    <mergeCell ref="J44:N44"/>
    <mergeCell ref="A1:F1"/>
    <mergeCell ref="A2:B2"/>
    <mergeCell ref="A3:B3"/>
    <mergeCell ref="A4:B4"/>
    <mergeCell ref="H4:Q4"/>
  </mergeCells>
  <hyperlinks>
    <hyperlink ref="B33" r:id="rId1" display="NPV@12%" xr:uid="{0EE8A89F-1909-4816-8AD2-842C17D31A89}"/>
  </hyperlinks>
  <pageMargins left="0.7" right="0.7" top="0.75" bottom="0.75" header="0.3" footer="0.3"/>
  <pageSetup orientation="portrait"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1E674-3E11-4B94-BF18-2CDCD12E2052}">
  <sheetPr codeName="Sheet33"/>
  <dimension ref="A1:G25"/>
  <sheetViews>
    <sheetView showGridLines="0" topLeftCell="A7" workbookViewId="0">
      <selection activeCell="F20" sqref="F20:F21"/>
    </sheetView>
  </sheetViews>
  <sheetFormatPr defaultRowHeight="15"/>
  <cols>
    <col min="2" max="2" width="63.7109375" bestFit="1" customWidth="1"/>
    <col min="3" max="3" width="16.7109375" bestFit="1" customWidth="1"/>
    <col min="4" max="4" width="19.28515625" bestFit="1" customWidth="1"/>
  </cols>
  <sheetData>
    <row r="1" spans="2:7">
      <c r="B1" s="1107" t="s">
        <v>568</v>
      </c>
      <c r="C1" s="1108"/>
      <c r="D1" s="1108"/>
      <c r="E1" s="1108"/>
      <c r="F1" s="1108"/>
      <c r="G1" s="1109"/>
    </row>
    <row r="2" spans="2:7">
      <c r="B2" s="505" t="s">
        <v>259</v>
      </c>
      <c r="D2" s="506">
        <v>1</v>
      </c>
      <c r="E2" s="506">
        <v>1</v>
      </c>
      <c r="F2" s="506">
        <v>1</v>
      </c>
      <c r="G2" s="506">
        <v>1</v>
      </c>
    </row>
    <row r="3" spans="2:7">
      <c r="B3" s="1110" t="s">
        <v>260</v>
      </c>
      <c r="C3" s="1111"/>
      <c r="G3" s="594"/>
    </row>
    <row r="4" spans="2:7">
      <c r="B4" s="505"/>
      <c r="C4" s="134" t="s">
        <v>264</v>
      </c>
      <c r="D4" s="595">
        <v>1</v>
      </c>
      <c r="E4" s="595">
        <v>2</v>
      </c>
      <c r="F4" s="595">
        <v>3</v>
      </c>
      <c r="G4" s="596">
        <v>4</v>
      </c>
    </row>
    <row r="5" spans="2:7">
      <c r="B5" s="505" t="s">
        <v>300</v>
      </c>
      <c r="C5" s="146">
        <f>'Profitability - Current'!B5</f>
        <v>3842.6360000000004</v>
      </c>
      <c r="D5" s="146">
        <f>C5-C5*0.11</f>
        <v>3419.9460400000003</v>
      </c>
      <c r="E5" s="146">
        <f>'Cashflow 350 KTPA'!K11</f>
        <v>3094.3312153271104</v>
      </c>
      <c r="F5" s="146">
        <f>C5-C5*0.05</f>
        <v>3650.5042000000003</v>
      </c>
      <c r="G5" s="527">
        <f>'Cashflow 350 KTPA'!K11</f>
        <v>3094.3312153271104</v>
      </c>
    </row>
    <row r="6" spans="2:7">
      <c r="B6" s="505" t="s">
        <v>446</v>
      </c>
      <c r="C6" s="146">
        <f>'Profitability - Current'!B6</f>
        <v>2147.3445796268261</v>
      </c>
      <c r="D6" s="146">
        <f>SUM(D7:D12)</f>
        <v>2147.3445796268261</v>
      </c>
      <c r="E6" s="146">
        <f t="shared" ref="E6:F6" si="0">SUM(E7:E12)</f>
        <v>2413.8105046268261</v>
      </c>
      <c r="F6" s="146">
        <f t="shared" si="0"/>
        <v>2292.689629626826</v>
      </c>
      <c r="G6" s="527">
        <f>C6+C6*0.145</f>
        <v>2458.7095436727159</v>
      </c>
    </row>
    <row r="7" spans="2:7">
      <c r="B7" s="52" t="s">
        <v>28</v>
      </c>
      <c r="C7" s="146">
        <f>'Cashflow Current'!H14</f>
        <v>1614.9450000000002</v>
      </c>
      <c r="D7" s="146">
        <f>C7</f>
        <v>1614.9450000000002</v>
      </c>
      <c r="E7" s="146">
        <f>C7+C7*0.165</f>
        <v>1881.4109250000001</v>
      </c>
      <c r="F7" s="146">
        <f>C7+C7*0.09</f>
        <v>1760.2900500000001</v>
      </c>
      <c r="G7" s="527">
        <f>'Cashflow 350 KTPA'!K14</f>
        <v>901.92486679766364</v>
      </c>
    </row>
    <row r="8" spans="2:7">
      <c r="B8" s="52" t="s">
        <v>328</v>
      </c>
      <c r="C8" s="146">
        <f>'Cashflow Current'!H15</f>
        <v>155.41</v>
      </c>
      <c r="D8" s="146">
        <f t="shared" ref="D8:D12" si="1">C8</f>
        <v>155.41</v>
      </c>
      <c r="E8" s="146">
        <f>C8</f>
        <v>155.41</v>
      </c>
      <c r="F8" s="146">
        <f>C8</f>
        <v>155.41</v>
      </c>
      <c r="G8" s="527">
        <f>C8</f>
        <v>155.41</v>
      </c>
    </row>
    <row r="9" spans="2:7">
      <c r="B9" s="52" t="s">
        <v>29</v>
      </c>
      <c r="C9" s="146">
        <f>'Cashflow Current'!H16</f>
        <v>26.91</v>
      </c>
      <c r="D9" s="146">
        <f t="shared" si="1"/>
        <v>26.91</v>
      </c>
      <c r="E9" s="146">
        <f t="shared" ref="E9:E12" si="2">C9</f>
        <v>26.91</v>
      </c>
      <c r="F9" s="146">
        <f t="shared" ref="F9:F12" si="3">C9</f>
        <v>26.91</v>
      </c>
      <c r="G9" s="527">
        <f t="shared" ref="G9:G12" si="4">C9</f>
        <v>26.91</v>
      </c>
    </row>
    <row r="10" spans="2:7">
      <c r="B10" s="52" t="s">
        <v>17</v>
      </c>
      <c r="C10" s="146">
        <f>'Cashflow Current'!H17</f>
        <v>157.19999999999999</v>
      </c>
      <c r="D10" s="146">
        <f t="shared" si="1"/>
        <v>157.19999999999999</v>
      </c>
      <c r="E10" s="146">
        <f t="shared" si="2"/>
        <v>157.19999999999999</v>
      </c>
      <c r="F10" s="146">
        <f t="shared" si="3"/>
        <v>157.19999999999999</v>
      </c>
      <c r="G10" s="527">
        <f t="shared" si="4"/>
        <v>157.19999999999999</v>
      </c>
    </row>
    <row r="11" spans="2:7">
      <c r="B11" s="52" t="s">
        <v>20</v>
      </c>
      <c r="C11" s="146">
        <f>'Cashflow Current'!H18</f>
        <v>69.089377505903997</v>
      </c>
      <c r="D11" s="146">
        <f t="shared" si="1"/>
        <v>69.089377505903997</v>
      </c>
      <c r="E11" s="146">
        <f t="shared" si="2"/>
        <v>69.089377505903997</v>
      </c>
      <c r="F11" s="146">
        <f t="shared" si="3"/>
        <v>69.089377505903997</v>
      </c>
      <c r="G11" s="527">
        <f t="shared" si="4"/>
        <v>69.089377505903997</v>
      </c>
    </row>
    <row r="12" spans="2:7">
      <c r="B12" s="52" t="s">
        <v>21</v>
      </c>
      <c r="C12" s="146">
        <f>'Cashflow Current'!H19</f>
        <v>123.79020212092189</v>
      </c>
      <c r="D12" s="146">
        <f t="shared" si="1"/>
        <v>123.79020212092189</v>
      </c>
      <c r="E12" s="146">
        <f t="shared" si="2"/>
        <v>123.79020212092189</v>
      </c>
      <c r="F12" s="146">
        <f t="shared" si="3"/>
        <v>123.79020212092189</v>
      </c>
      <c r="G12" s="527">
        <f t="shared" si="4"/>
        <v>123.79020212092189</v>
      </c>
    </row>
    <row r="13" spans="2:7">
      <c r="B13" s="505" t="s">
        <v>447</v>
      </c>
      <c r="C13" s="146">
        <f t="shared" ref="C13:G13" si="5">C5-C6</f>
        <v>1695.2914203731743</v>
      </c>
      <c r="D13" s="146">
        <f t="shared" si="5"/>
        <v>1272.6014603731742</v>
      </c>
      <c r="E13" s="146">
        <f t="shared" si="5"/>
        <v>680.52071070028433</v>
      </c>
      <c r="F13" s="146">
        <f t="shared" si="5"/>
        <v>1357.8145703731743</v>
      </c>
      <c r="G13" s="527">
        <f t="shared" si="5"/>
        <v>635.6216716543945</v>
      </c>
    </row>
    <row r="14" spans="2:7">
      <c r="B14" s="505" t="s">
        <v>453</v>
      </c>
      <c r="C14" s="146">
        <f>'Cashflow 350 KTPA'!$G$8/10</f>
        <v>415.94497678079995</v>
      </c>
      <c r="D14" s="146">
        <f>'Cashflow 350 KTPA'!$G$8/10</f>
        <v>415.94497678079995</v>
      </c>
      <c r="E14" s="146">
        <f>'Cashflow 350 KTPA'!$G$8/10</f>
        <v>415.94497678079995</v>
      </c>
      <c r="F14" s="146">
        <f>'Cashflow 350 KTPA'!$G$8/10</f>
        <v>415.94497678079995</v>
      </c>
      <c r="G14" s="527">
        <f>'Cashflow 350 KTPA'!$G$8/10</f>
        <v>415.94497678079995</v>
      </c>
    </row>
    <row r="15" spans="2:7">
      <c r="B15" s="505" t="s">
        <v>454</v>
      </c>
      <c r="C15" s="146">
        <f t="shared" ref="C15:G15" si="6">C13-C14</f>
        <v>1279.3464435923743</v>
      </c>
      <c r="D15" s="146">
        <f t="shared" si="6"/>
        <v>856.65648359237423</v>
      </c>
      <c r="E15" s="146">
        <f t="shared" si="6"/>
        <v>264.57573391948438</v>
      </c>
      <c r="F15" s="146">
        <f t="shared" si="6"/>
        <v>941.86959359237437</v>
      </c>
      <c r="G15" s="527">
        <f t="shared" si="6"/>
        <v>219.67669487359456</v>
      </c>
    </row>
    <row r="16" spans="2:7">
      <c r="B16" s="505" t="s">
        <v>271</v>
      </c>
      <c r="C16" s="146">
        <f t="shared" ref="C16:G16" si="7">C15*0.2517</f>
        <v>322.01149985220059</v>
      </c>
      <c r="D16" s="146">
        <f t="shared" si="7"/>
        <v>215.62043692020058</v>
      </c>
      <c r="E16" s="146">
        <f t="shared" si="7"/>
        <v>66.593712227534212</v>
      </c>
      <c r="F16" s="146">
        <f t="shared" si="7"/>
        <v>237.06857670720061</v>
      </c>
      <c r="G16" s="527">
        <f t="shared" si="7"/>
        <v>55.292624099683742</v>
      </c>
    </row>
    <row r="17" spans="1:7">
      <c r="B17" s="509" t="s">
        <v>272</v>
      </c>
      <c r="C17" s="528">
        <f t="shared" ref="C17:G17" si="8">C15-C16</f>
        <v>957.33494374017369</v>
      </c>
      <c r="D17" s="528">
        <f t="shared" si="8"/>
        <v>641.0360466721736</v>
      </c>
      <c r="E17" s="528">
        <f t="shared" si="8"/>
        <v>197.98202169195017</v>
      </c>
      <c r="F17" s="528">
        <f t="shared" si="8"/>
        <v>704.80101688517379</v>
      </c>
      <c r="G17" s="529">
        <f t="shared" si="8"/>
        <v>164.38407077391082</v>
      </c>
    </row>
    <row r="18" spans="1:7">
      <c r="D18" s="597"/>
      <c r="E18" s="597"/>
      <c r="F18" s="597"/>
      <c r="G18" s="597"/>
    </row>
    <row r="19" spans="1:7">
      <c r="A19" s="526" t="s">
        <v>117</v>
      </c>
      <c r="B19" s="1113" t="s">
        <v>368</v>
      </c>
      <c r="C19" s="1114"/>
      <c r="D19" s="1114"/>
    </row>
    <row r="20" spans="1:7">
      <c r="A20" s="523"/>
      <c r="B20" s="343" t="s">
        <v>362</v>
      </c>
      <c r="C20" s="344" t="s">
        <v>272</v>
      </c>
      <c r="D20" s="601" t="s">
        <v>498</v>
      </c>
    </row>
    <row r="21" spans="1:7">
      <c r="A21" s="524"/>
      <c r="B21" s="345" t="s">
        <v>497</v>
      </c>
      <c r="C21" s="598">
        <f>C17</f>
        <v>957.33494374017369</v>
      </c>
      <c r="D21" s="602" t="s">
        <v>499</v>
      </c>
    </row>
    <row r="22" spans="1:7">
      <c r="A22" s="524">
        <v>1</v>
      </c>
      <c r="B22" s="345" t="s">
        <v>364</v>
      </c>
      <c r="C22" s="599">
        <f>D17</f>
        <v>641.0360466721736</v>
      </c>
      <c r="D22" s="963">
        <f>(C22-$C$21)/$C$21</f>
        <v>-0.33039522806120974</v>
      </c>
    </row>
    <row r="23" spans="1:7">
      <c r="A23" s="524">
        <v>2</v>
      </c>
      <c r="B23" s="345" t="s">
        <v>365</v>
      </c>
      <c r="C23" s="599">
        <f>E17</f>
        <v>197.98202169195017</v>
      </c>
      <c r="D23" s="963">
        <f t="shared" ref="D23:D25" si="9">(C23-$C$21)/$C$21</f>
        <v>-0.79319461491872201</v>
      </c>
    </row>
    <row r="24" spans="1:7">
      <c r="A24" s="524">
        <v>3</v>
      </c>
      <c r="B24" s="345" t="s">
        <v>366</v>
      </c>
      <c r="C24" s="599">
        <f>F17</f>
        <v>704.80101688517379</v>
      </c>
      <c r="D24" s="963">
        <f t="shared" si="9"/>
        <v>-0.26378847706988023</v>
      </c>
    </row>
    <row r="25" spans="1:7">
      <c r="A25" s="525">
        <v>4</v>
      </c>
      <c r="B25" s="349" t="s">
        <v>367</v>
      </c>
      <c r="C25" s="600">
        <f>G17</f>
        <v>164.38407077391082</v>
      </c>
      <c r="D25" s="964">
        <f t="shared" si="9"/>
        <v>-0.82828990851239037</v>
      </c>
    </row>
  </sheetData>
  <mergeCells count="3">
    <mergeCell ref="B1:G1"/>
    <mergeCell ref="B3:C3"/>
    <mergeCell ref="B19:D19"/>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079EB-4F03-4087-A3E1-71B633FFD973}">
  <sheetPr codeName="Sheet34"/>
  <dimension ref="A1:M27"/>
  <sheetViews>
    <sheetView showGridLines="0" zoomScaleNormal="100" zoomScaleSheetLayoutView="98" workbookViewId="0">
      <selection activeCell="H20" sqref="H20"/>
    </sheetView>
  </sheetViews>
  <sheetFormatPr defaultRowHeight="12.75"/>
  <cols>
    <col min="1" max="1" width="4.85546875" style="123" customWidth="1"/>
    <col min="2" max="2" width="63.7109375" style="123" bestFit="1" customWidth="1"/>
    <col min="3" max="3" width="20.7109375" style="123" customWidth="1"/>
    <col min="4" max="4" width="9.140625" style="123"/>
    <col min="5" max="5" width="11.85546875" style="123" customWidth="1"/>
    <col min="6" max="6" width="11.7109375" style="123" customWidth="1"/>
    <col min="7" max="7" width="12.42578125" style="123" customWidth="1"/>
    <col min="8" max="8" width="13.42578125" style="123" customWidth="1"/>
    <col min="9" max="257" width="9.140625" style="123"/>
    <col min="258" max="258" width="49.140625" style="123" customWidth="1"/>
    <col min="259" max="259" width="20.7109375" style="123" customWidth="1"/>
    <col min="260" max="260" width="9.140625" style="123"/>
    <col min="261" max="261" width="11.85546875" style="123" customWidth="1"/>
    <col min="262" max="262" width="11.7109375" style="123" customWidth="1"/>
    <col min="263" max="263" width="12.42578125" style="123" customWidth="1"/>
    <col min="264" max="264" width="13.42578125" style="123" customWidth="1"/>
    <col min="265" max="513" width="9.140625" style="123"/>
    <col min="514" max="514" width="49.140625" style="123" customWidth="1"/>
    <col min="515" max="515" width="20.7109375" style="123" customWidth="1"/>
    <col min="516" max="516" width="9.140625" style="123"/>
    <col min="517" max="517" width="11.85546875" style="123" customWidth="1"/>
    <col min="518" max="518" width="11.7109375" style="123" customWidth="1"/>
    <col min="519" max="519" width="12.42578125" style="123" customWidth="1"/>
    <col min="520" max="520" width="13.42578125" style="123" customWidth="1"/>
    <col min="521" max="769" width="9.140625" style="123"/>
    <col min="770" max="770" width="49.140625" style="123" customWidth="1"/>
    <col min="771" max="771" width="20.7109375" style="123" customWidth="1"/>
    <col min="772" max="772" width="9.140625" style="123"/>
    <col min="773" max="773" width="11.85546875" style="123" customWidth="1"/>
    <col min="774" max="774" width="11.7109375" style="123" customWidth="1"/>
    <col min="775" max="775" width="12.42578125" style="123" customWidth="1"/>
    <col min="776" max="776" width="13.42578125" style="123" customWidth="1"/>
    <col min="777" max="1025" width="9.140625" style="123"/>
    <col min="1026" max="1026" width="49.140625" style="123" customWidth="1"/>
    <col min="1027" max="1027" width="20.7109375" style="123" customWidth="1"/>
    <col min="1028" max="1028" width="9.140625" style="123"/>
    <col min="1029" max="1029" width="11.85546875" style="123" customWidth="1"/>
    <col min="1030" max="1030" width="11.7109375" style="123" customWidth="1"/>
    <col min="1031" max="1031" width="12.42578125" style="123" customWidth="1"/>
    <col min="1032" max="1032" width="13.42578125" style="123" customWidth="1"/>
    <col min="1033" max="1281" width="9.140625" style="123"/>
    <col min="1282" max="1282" width="49.140625" style="123" customWidth="1"/>
    <col min="1283" max="1283" width="20.7109375" style="123" customWidth="1"/>
    <col min="1284" max="1284" width="9.140625" style="123"/>
    <col min="1285" max="1285" width="11.85546875" style="123" customWidth="1"/>
    <col min="1286" max="1286" width="11.7109375" style="123" customWidth="1"/>
    <col min="1287" max="1287" width="12.42578125" style="123" customWidth="1"/>
    <col min="1288" max="1288" width="13.42578125" style="123" customWidth="1"/>
    <col min="1289" max="1537" width="9.140625" style="123"/>
    <col min="1538" max="1538" width="49.140625" style="123" customWidth="1"/>
    <col min="1539" max="1539" width="20.7109375" style="123" customWidth="1"/>
    <col min="1540" max="1540" width="9.140625" style="123"/>
    <col min="1541" max="1541" width="11.85546875" style="123" customWidth="1"/>
    <col min="1542" max="1542" width="11.7109375" style="123" customWidth="1"/>
    <col min="1543" max="1543" width="12.42578125" style="123" customWidth="1"/>
    <col min="1544" max="1544" width="13.42578125" style="123" customWidth="1"/>
    <col min="1545" max="1793" width="9.140625" style="123"/>
    <col min="1794" max="1794" width="49.140625" style="123" customWidth="1"/>
    <col min="1795" max="1795" width="20.7109375" style="123" customWidth="1"/>
    <col min="1796" max="1796" width="9.140625" style="123"/>
    <col min="1797" max="1797" width="11.85546875" style="123" customWidth="1"/>
    <col min="1798" max="1798" width="11.7109375" style="123" customWidth="1"/>
    <col min="1799" max="1799" width="12.42578125" style="123" customWidth="1"/>
    <col min="1800" max="1800" width="13.42578125" style="123" customWidth="1"/>
    <col min="1801" max="2049" width="9.140625" style="123"/>
    <col min="2050" max="2050" width="49.140625" style="123" customWidth="1"/>
    <col min="2051" max="2051" width="20.7109375" style="123" customWidth="1"/>
    <col min="2052" max="2052" width="9.140625" style="123"/>
    <col min="2053" max="2053" width="11.85546875" style="123" customWidth="1"/>
    <col min="2054" max="2054" width="11.7109375" style="123" customWidth="1"/>
    <col min="2055" max="2055" width="12.42578125" style="123" customWidth="1"/>
    <col min="2056" max="2056" width="13.42578125" style="123" customWidth="1"/>
    <col min="2057" max="2305" width="9.140625" style="123"/>
    <col min="2306" max="2306" width="49.140625" style="123" customWidth="1"/>
    <col min="2307" max="2307" width="20.7109375" style="123" customWidth="1"/>
    <col min="2308" max="2308" width="9.140625" style="123"/>
    <col min="2309" max="2309" width="11.85546875" style="123" customWidth="1"/>
    <col min="2310" max="2310" width="11.7109375" style="123" customWidth="1"/>
    <col min="2311" max="2311" width="12.42578125" style="123" customWidth="1"/>
    <col min="2312" max="2312" width="13.42578125" style="123" customWidth="1"/>
    <col min="2313" max="2561" width="9.140625" style="123"/>
    <col min="2562" max="2562" width="49.140625" style="123" customWidth="1"/>
    <col min="2563" max="2563" width="20.7109375" style="123" customWidth="1"/>
    <col min="2564" max="2564" width="9.140625" style="123"/>
    <col min="2565" max="2565" width="11.85546875" style="123" customWidth="1"/>
    <col min="2566" max="2566" width="11.7109375" style="123" customWidth="1"/>
    <col min="2567" max="2567" width="12.42578125" style="123" customWidth="1"/>
    <col min="2568" max="2568" width="13.42578125" style="123" customWidth="1"/>
    <col min="2569" max="2817" width="9.140625" style="123"/>
    <col min="2818" max="2818" width="49.140625" style="123" customWidth="1"/>
    <col min="2819" max="2819" width="20.7109375" style="123" customWidth="1"/>
    <col min="2820" max="2820" width="9.140625" style="123"/>
    <col min="2821" max="2821" width="11.85546875" style="123" customWidth="1"/>
    <col min="2822" max="2822" width="11.7109375" style="123" customWidth="1"/>
    <col min="2823" max="2823" width="12.42578125" style="123" customWidth="1"/>
    <col min="2824" max="2824" width="13.42578125" style="123" customWidth="1"/>
    <col min="2825" max="3073" width="9.140625" style="123"/>
    <col min="3074" max="3074" width="49.140625" style="123" customWidth="1"/>
    <col min="3075" max="3075" width="20.7109375" style="123" customWidth="1"/>
    <col min="3076" max="3076" width="9.140625" style="123"/>
    <col min="3077" max="3077" width="11.85546875" style="123" customWidth="1"/>
    <col min="3078" max="3078" width="11.7109375" style="123" customWidth="1"/>
    <col min="3079" max="3079" width="12.42578125" style="123" customWidth="1"/>
    <col min="3080" max="3080" width="13.42578125" style="123" customWidth="1"/>
    <col min="3081" max="3329" width="9.140625" style="123"/>
    <col min="3330" max="3330" width="49.140625" style="123" customWidth="1"/>
    <col min="3331" max="3331" width="20.7109375" style="123" customWidth="1"/>
    <col min="3332" max="3332" width="9.140625" style="123"/>
    <col min="3333" max="3333" width="11.85546875" style="123" customWidth="1"/>
    <col min="3334" max="3334" width="11.7109375" style="123" customWidth="1"/>
    <col min="3335" max="3335" width="12.42578125" style="123" customWidth="1"/>
    <col min="3336" max="3336" width="13.42578125" style="123" customWidth="1"/>
    <col min="3337" max="3585" width="9.140625" style="123"/>
    <col min="3586" max="3586" width="49.140625" style="123" customWidth="1"/>
    <col min="3587" max="3587" width="20.7109375" style="123" customWidth="1"/>
    <col min="3588" max="3588" width="9.140625" style="123"/>
    <col min="3589" max="3589" width="11.85546875" style="123" customWidth="1"/>
    <col min="3590" max="3590" width="11.7109375" style="123" customWidth="1"/>
    <col min="3591" max="3591" width="12.42578125" style="123" customWidth="1"/>
    <col min="3592" max="3592" width="13.42578125" style="123" customWidth="1"/>
    <col min="3593" max="3841" width="9.140625" style="123"/>
    <col min="3842" max="3842" width="49.140625" style="123" customWidth="1"/>
    <col min="3843" max="3843" width="20.7109375" style="123" customWidth="1"/>
    <col min="3844" max="3844" width="9.140625" style="123"/>
    <col min="3845" max="3845" width="11.85546875" style="123" customWidth="1"/>
    <col min="3846" max="3846" width="11.7109375" style="123" customWidth="1"/>
    <col min="3847" max="3847" width="12.42578125" style="123" customWidth="1"/>
    <col min="3848" max="3848" width="13.42578125" style="123" customWidth="1"/>
    <col min="3849" max="4097" width="9.140625" style="123"/>
    <col min="4098" max="4098" width="49.140625" style="123" customWidth="1"/>
    <col min="4099" max="4099" width="20.7109375" style="123" customWidth="1"/>
    <col min="4100" max="4100" width="9.140625" style="123"/>
    <col min="4101" max="4101" width="11.85546875" style="123" customWidth="1"/>
    <col min="4102" max="4102" width="11.7109375" style="123" customWidth="1"/>
    <col min="4103" max="4103" width="12.42578125" style="123" customWidth="1"/>
    <col min="4104" max="4104" width="13.42578125" style="123" customWidth="1"/>
    <col min="4105" max="4353" width="9.140625" style="123"/>
    <col min="4354" max="4354" width="49.140625" style="123" customWidth="1"/>
    <col min="4355" max="4355" width="20.7109375" style="123" customWidth="1"/>
    <col min="4356" max="4356" width="9.140625" style="123"/>
    <col min="4357" max="4357" width="11.85546875" style="123" customWidth="1"/>
    <col min="4358" max="4358" width="11.7109375" style="123" customWidth="1"/>
    <col min="4359" max="4359" width="12.42578125" style="123" customWidth="1"/>
    <col min="4360" max="4360" width="13.42578125" style="123" customWidth="1"/>
    <col min="4361" max="4609" width="9.140625" style="123"/>
    <col min="4610" max="4610" width="49.140625" style="123" customWidth="1"/>
    <col min="4611" max="4611" width="20.7109375" style="123" customWidth="1"/>
    <col min="4612" max="4612" width="9.140625" style="123"/>
    <col min="4613" max="4613" width="11.85546875" style="123" customWidth="1"/>
    <col min="4614" max="4614" width="11.7109375" style="123" customWidth="1"/>
    <col min="4615" max="4615" width="12.42578125" style="123" customWidth="1"/>
    <col min="4616" max="4616" width="13.42578125" style="123" customWidth="1"/>
    <col min="4617" max="4865" width="9.140625" style="123"/>
    <col min="4866" max="4866" width="49.140625" style="123" customWidth="1"/>
    <col min="4867" max="4867" width="20.7109375" style="123" customWidth="1"/>
    <col min="4868" max="4868" width="9.140625" style="123"/>
    <col min="4869" max="4869" width="11.85546875" style="123" customWidth="1"/>
    <col min="4870" max="4870" width="11.7109375" style="123" customWidth="1"/>
    <col min="4871" max="4871" width="12.42578125" style="123" customWidth="1"/>
    <col min="4872" max="4872" width="13.42578125" style="123" customWidth="1"/>
    <col min="4873" max="5121" width="9.140625" style="123"/>
    <col min="5122" max="5122" width="49.140625" style="123" customWidth="1"/>
    <col min="5123" max="5123" width="20.7109375" style="123" customWidth="1"/>
    <col min="5124" max="5124" width="9.140625" style="123"/>
    <col min="5125" max="5125" width="11.85546875" style="123" customWidth="1"/>
    <col min="5126" max="5126" width="11.7109375" style="123" customWidth="1"/>
    <col min="5127" max="5127" width="12.42578125" style="123" customWidth="1"/>
    <col min="5128" max="5128" width="13.42578125" style="123" customWidth="1"/>
    <col min="5129" max="5377" width="9.140625" style="123"/>
    <col min="5378" max="5378" width="49.140625" style="123" customWidth="1"/>
    <col min="5379" max="5379" width="20.7109375" style="123" customWidth="1"/>
    <col min="5380" max="5380" width="9.140625" style="123"/>
    <col min="5381" max="5381" width="11.85546875" style="123" customWidth="1"/>
    <col min="5382" max="5382" width="11.7109375" style="123" customWidth="1"/>
    <col min="5383" max="5383" width="12.42578125" style="123" customWidth="1"/>
    <col min="5384" max="5384" width="13.42578125" style="123" customWidth="1"/>
    <col min="5385" max="5633" width="9.140625" style="123"/>
    <col min="5634" max="5634" width="49.140625" style="123" customWidth="1"/>
    <col min="5635" max="5635" width="20.7109375" style="123" customWidth="1"/>
    <col min="5636" max="5636" width="9.140625" style="123"/>
    <col min="5637" max="5637" width="11.85546875" style="123" customWidth="1"/>
    <col min="5638" max="5638" width="11.7109375" style="123" customWidth="1"/>
    <col min="5639" max="5639" width="12.42578125" style="123" customWidth="1"/>
    <col min="5640" max="5640" width="13.42578125" style="123" customWidth="1"/>
    <col min="5641" max="5889" width="9.140625" style="123"/>
    <col min="5890" max="5890" width="49.140625" style="123" customWidth="1"/>
    <col min="5891" max="5891" width="20.7109375" style="123" customWidth="1"/>
    <col min="5892" max="5892" width="9.140625" style="123"/>
    <col min="5893" max="5893" width="11.85546875" style="123" customWidth="1"/>
    <col min="5894" max="5894" width="11.7109375" style="123" customWidth="1"/>
    <col min="5895" max="5895" width="12.42578125" style="123" customWidth="1"/>
    <col min="5896" max="5896" width="13.42578125" style="123" customWidth="1"/>
    <col min="5897" max="6145" width="9.140625" style="123"/>
    <col min="6146" max="6146" width="49.140625" style="123" customWidth="1"/>
    <col min="6147" max="6147" width="20.7109375" style="123" customWidth="1"/>
    <col min="6148" max="6148" width="9.140625" style="123"/>
    <col min="6149" max="6149" width="11.85546875" style="123" customWidth="1"/>
    <col min="6150" max="6150" width="11.7109375" style="123" customWidth="1"/>
    <col min="6151" max="6151" width="12.42578125" style="123" customWidth="1"/>
    <col min="6152" max="6152" width="13.42578125" style="123" customWidth="1"/>
    <col min="6153" max="6401" width="9.140625" style="123"/>
    <col min="6402" max="6402" width="49.140625" style="123" customWidth="1"/>
    <col min="6403" max="6403" width="20.7109375" style="123" customWidth="1"/>
    <col min="6404" max="6404" width="9.140625" style="123"/>
    <col min="6405" max="6405" width="11.85546875" style="123" customWidth="1"/>
    <col min="6406" max="6406" width="11.7109375" style="123" customWidth="1"/>
    <col min="6407" max="6407" width="12.42578125" style="123" customWidth="1"/>
    <col min="6408" max="6408" width="13.42578125" style="123" customWidth="1"/>
    <col min="6409" max="6657" width="9.140625" style="123"/>
    <col min="6658" max="6658" width="49.140625" style="123" customWidth="1"/>
    <col min="6659" max="6659" width="20.7109375" style="123" customWidth="1"/>
    <col min="6660" max="6660" width="9.140625" style="123"/>
    <col min="6661" max="6661" width="11.85546875" style="123" customWidth="1"/>
    <col min="6662" max="6662" width="11.7109375" style="123" customWidth="1"/>
    <col min="6663" max="6663" width="12.42578125" style="123" customWidth="1"/>
    <col min="6664" max="6664" width="13.42578125" style="123" customWidth="1"/>
    <col min="6665" max="6913" width="9.140625" style="123"/>
    <col min="6914" max="6914" width="49.140625" style="123" customWidth="1"/>
    <col min="6915" max="6915" width="20.7109375" style="123" customWidth="1"/>
    <col min="6916" max="6916" width="9.140625" style="123"/>
    <col min="6917" max="6917" width="11.85546875" style="123" customWidth="1"/>
    <col min="6918" max="6918" width="11.7109375" style="123" customWidth="1"/>
    <col min="6919" max="6919" width="12.42578125" style="123" customWidth="1"/>
    <col min="6920" max="6920" width="13.42578125" style="123" customWidth="1"/>
    <col min="6921" max="7169" width="9.140625" style="123"/>
    <col min="7170" max="7170" width="49.140625" style="123" customWidth="1"/>
    <col min="7171" max="7171" width="20.7109375" style="123" customWidth="1"/>
    <col min="7172" max="7172" width="9.140625" style="123"/>
    <col min="7173" max="7173" width="11.85546875" style="123" customWidth="1"/>
    <col min="7174" max="7174" width="11.7109375" style="123" customWidth="1"/>
    <col min="7175" max="7175" width="12.42578125" style="123" customWidth="1"/>
    <col min="7176" max="7176" width="13.42578125" style="123" customWidth="1"/>
    <col min="7177" max="7425" width="9.140625" style="123"/>
    <col min="7426" max="7426" width="49.140625" style="123" customWidth="1"/>
    <col min="7427" max="7427" width="20.7109375" style="123" customWidth="1"/>
    <col min="7428" max="7428" width="9.140625" style="123"/>
    <col min="7429" max="7429" width="11.85546875" style="123" customWidth="1"/>
    <col min="7430" max="7430" width="11.7109375" style="123" customWidth="1"/>
    <col min="7431" max="7431" width="12.42578125" style="123" customWidth="1"/>
    <col min="7432" max="7432" width="13.42578125" style="123" customWidth="1"/>
    <col min="7433" max="7681" width="9.140625" style="123"/>
    <col min="7682" max="7682" width="49.140625" style="123" customWidth="1"/>
    <col min="7683" max="7683" width="20.7109375" style="123" customWidth="1"/>
    <col min="7684" max="7684" width="9.140625" style="123"/>
    <col min="7685" max="7685" width="11.85546875" style="123" customWidth="1"/>
    <col min="7686" max="7686" width="11.7109375" style="123" customWidth="1"/>
    <col min="7687" max="7687" width="12.42578125" style="123" customWidth="1"/>
    <col min="7688" max="7688" width="13.42578125" style="123" customWidth="1"/>
    <col min="7689" max="7937" width="9.140625" style="123"/>
    <col min="7938" max="7938" width="49.140625" style="123" customWidth="1"/>
    <col min="7939" max="7939" width="20.7109375" style="123" customWidth="1"/>
    <col min="7940" max="7940" width="9.140625" style="123"/>
    <col min="7941" max="7941" width="11.85546875" style="123" customWidth="1"/>
    <col min="7942" max="7942" width="11.7109375" style="123" customWidth="1"/>
    <col min="7943" max="7943" width="12.42578125" style="123" customWidth="1"/>
    <col min="7944" max="7944" width="13.42578125" style="123" customWidth="1"/>
    <col min="7945" max="8193" width="9.140625" style="123"/>
    <col min="8194" max="8194" width="49.140625" style="123" customWidth="1"/>
    <col min="8195" max="8195" width="20.7109375" style="123" customWidth="1"/>
    <col min="8196" max="8196" width="9.140625" style="123"/>
    <col min="8197" max="8197" width="11.85546875" style="123" customWidth="1"/>
    <col min="8198" max="8198" width="11.7109375" style="123" customWidth="1"/>
    <col min="8199" max="8199" width="12.42578125" style="123" customWidth="1"/>
    <col min="8200" max="8200" width="13.42578125" style="123" customWidth="1"/>
    <col min="8201" max="8449" width="9.140625" style="123"/>
    <col min="8450" max="8450" width="49.140625" style="123" customWidth="1"/>
    <col min="8451" max="8451" width="20.7109375" style="123" customWidth="1"/>
    <col min="8452" max="8452" width="9.140625" style="123"/>
    <col min="8453" max="8453" width="11.85546875" style="123" customWidth="1"/>
    <col min="8454" max="8454" width="11.7109375" style="123" customWidth="1"/>
    <col min="8455" max="8455" width="12.42578125" style="123" customWidth="1"/>
    <col min="8456" max="8456" width="13.42578125" style="123" customWidth="1"/>
    <col min="8457" max="8705" width="9.140625" style="123"/>
    <col min="8706" max="8706" width="49.140625" style="123" customWidth="1"/>
    <col min="8707" max="8707" width="20.7109375" style="123" customWidth="1"/>
    <col min="8708" max="8708" width="9.140625" style="123"/>
    <col min="8709" max="8709" width="11.85546875" style="123" customWidth="1"/>
    <col min="8710" max="8710" width="11.7109375" style="123" customWidth="1"/>
    <col min="8711" max="8711" width="12.42578125" style="123" customWidth="1"/>
    <col min="8712" max="8712" width="13.42578125" style="123" customWidth="1"/>
    <col min="8713" max="8961" width="9.140625" style="123"/>
    <col min="8962" max="8962" width="49.140625" style="123" customWidth="1"/>
    <col min="8963" max="8963" width="20.7109375" style="123" customWidth="1"/>
    <col min="8964" max="8964" width="9.140625" style="123"/>
    <col min="8965" max="8965" width="11.85546875" style="123" customWidth="1"/>
    <col min="8966" max="8966" width="11.7109375" style="123" customWidth="1"/>
    <col min="8967" max="8967" width="12.42578125" style="123" customWidth="1"/>
    <col min="8968" max="8968" width="13.42578125" style="123" customWidth="1"/>
    <col min="8969" max="9217" width="9.140625" style="123"/>
    <col min="9218" max="9218" width="49.140625" style="123" customWidth="1"/>
    <col min="9219" max="9219" width="20.7109375" style="123" customWidth="1"/>
    <col min="9220" max="9220" width="9.140625" style="123"/>
    <col min="9221" max="9221" width="11.85546875" style="123" customWidth="1"/>
    <col min="9222" max="9222" width="11.7109375" style="123" customWidth="1"/>
    <col min="9223" max="9223" width="12.42578125" style="123" customWidth="1"/>
    <col min="9224" max="9224" width="13.42578125" style="123" customWidth="1"/>
    <col min="9225" max="9473" width="9.140625" style="123"/>
    <col min="9474" max="9474" width="49.140625" style="123" customWidth="1"/>
    <col min="9475" max="9475" width="20.7109375" style="123" customWidth="1"/>
    <col min="9476" max="9476" width="9.140625" style="123"/>
    <col min="9477" max="9477" width="11.85546875" style="123" customWidth="1"/>
    <col min="9478" max="9478" width="11.7109375" style="123" customWidth="1"/>
    <col min="9479" max="9479" width="12.42578125" style="123" customWidth="1"/>
    <col min="9480" max="9480" width="13.42578125" style="123" customWidth="1"/>
    <col min="9481" max="9729" width="9.140625" style="123"/>
    <col min="9730" max="9730" width="49.140625" style="123" customWidth="1"/>
    <col min="9731" max="9731" width="20.7109375" style="123" customWidth="1"/>
    <col min="9732" max="9732" width="9.140625" style="123"/>
    <col min="9733" max="9733" width="11.85546875" style="123" customWidth="1"/>
    <col min="9734" max="9734" width="11.7109375" style="123" customWidth="1"/>
    <col min="9735" max="9735" width="12.42578125" style="123" customWidth="1"/>
    <col min="9736" max="9736" width="13.42578125" style="123" customWidth="1"/>
    <col min="9737" max="9985" width="9.140625" style="123"/>
    <col min="9986" max="9986" width="49.140625" style="123" customWidth="1"/>
    <col min="9987" max="9987" width="20.7109375" style="123" customWidth="1"/>
    <col min="9988" max="9988" width="9.140625" style="123"/>
    <col min="9989" max="9989" width="11.85546875" style="123" customWidth="1"/>
    <col min="9990" max="9990" width="11.7109375" style="123" customWidth="1"/>
    <col min="9991" max="9991" width="12.42578125" style="123" customWidth="1"/>
    <col min="9992" max="9992" width="13.42578125" style="123" customWidth="1"/>
    <col min="9993" max="10241" width="9.140625" style="123"/>
    <col min="10242" max="10242" width="49.140625" style="123" customWidth="1"/>
    <col min="10243" max="10243" width="20.7109375" style="123" customWidth="1"/>
    <col min="10244" max="10244" width="9.140625" style="123"/>
    <col min="10245" max="10245" width="11.85546875" style="123" customWidth="1"/>
    <col min="10246" max="10246" width="11.7109375" style="123" customWidth="1"/>
    <col min="10247" max="10247" width="12.42578125" style="123" customWidth="1"/>
    <col min="10248" max="10248" width="13.42578125" style="123" customWidth="1"/>
    <col min="10249" max="10497" width="9.140625" style="123"/>
    <col min="10498" max="10498" width="49.140625" style="123" customWidth="1"/>
    <col min="10499" max="10499" width="20.7109375" style="123" customWidth="1"/>
    <col min="10500" max="10500" width="9.140625" style="123"/>
    <col min="10501" max="10501" width="11.85546875" style="123" customWidth="1"/>
    <col min="10502" max="10502" width="11.7109375" style="123" customWidth="1"/>
    <col min="10503" max="10503" width="12.42578125" style="123" customWidth="1"/>
    <col min="10504" max="10504" width="13.42578125" style="123" customWidth="1"/>
    <col min="10505" max="10753" width="9.140625" style="123"/>
    <col min="10754" max="10754" width="49.140625" style="123" customWidth="1"/>
    <col min="10755" max="10755" width="20.7109375" style="123" customWidth="1"/>
    <col min="10756" max="10756" width="9.140625" style="123"/>
    <col min="10757" max="10757" width="11.85546875" style="123" customWidth="1"/>
    <col min="10758" max="10758" width="11.7109375" style="123" customWidth="1"/>
    <col min="10759" max="10759" width="12.42578125" style="123" customWidth="1"/>
    <col min="10760" max="10760" width="13.42578125" style="123" customWidth="1"/>
    <col min="10761" max="11009" width="9.140625" style="123"/>
    <col min="11010" max="11010" width="49.140625" style="123" customWidth="1"/>
    <col min="11011" max="11011" width="20.7109375" style="123" customWidth="1"/>
    <col min="11012" max="11012" width="9.140625" style="123"/>
    <col min="11013" max="11013" width="11.85546875" style="123" customWidth="1"/>
    <col min="11014" max="11014" width="11.7109375" style="123" customWidth="1"/>
    <col min="11015" max="11015" width="12.42578125" style="123" customWidth="1"/>
    <col min="11016" max="11016" width="13.42578125" style="123" customWidth="1"/>
    <col min="11017" max="11265" width="9.140625" style="123"/>
    <col min="11266" max="11266" width="49.140625" style="123" customWidth="1"/>
    <col min="11267" max="11267" width="20.7109375" style="123" customWidth="1"/>
    <col min="11268" max="11268" width="9.140625" style="123"/>
    <col min="11269" max="11269" width="11.85546875" style="123" customWidth="1"/>
    <col min="11270" max="11270" width="11.7109375" style="123" customWidth="1"/>
    <col min="11271" max="11271" width="12.42578125" style="123" customWidth="1"/>
    <col min="11272" max="11272" width="13.42578125" style="123" customWidth="1"/>
    <col min="11273" max="11521" width="9.140625" style="123"/>
    <col min="11522" max="11522" width="49.140625" style="123" customWidth="1"/>
    <col min="11523" max="11523" width="20.7109375" style="123" customWidth="1"/>
    <col min="11524" max="11524" width="9.140625" style="123"/>
    <col min="11525" max="11525" width="11.85546875" style="123" customWidth="1"/>
    <col min="11526" max="11526" width="11.7109375" style="123" customWidth="1"/>
    <col min="11527" max="11527" width="12.42578125" style="123" customWidth="1"/>
    <col min="11528" max="11528" width="13.42578125" style="123" customWidth="1"/>
    <col min="11529" max="11777" width="9.140625" style="123"/>
    <col min="11778" max="11778" width="49.140625" style="123" customWidth="1"/>
    <col min="11779" max="11779" width="20.7109375" style="123" customWidth="1"/>
    <col min="11780" max="11780" width="9.140625" style="123"/>
    <col min="11781" max="11781" width="11.85546875" style="123" customWidth="1"/>
    <col min="11782" max="11782" width="11.7109375" style="123" customWidth="1"/>
    <col min="11783" max="11783" width="12.42578125" style="123" customWidth="1"/>
    <col min="11784" max="11784" width="13.42578125" style="123" customWidth="1"/>
    <col min="11785" max="12033" width="9.140625" style="123"/>
    <col min="12034" max="12034" width="49.140625" style="123" customWidth="1"/>
    <col min="12035" max="12035" width="20.7109375" style="123" customWidth="1"/>
    <col min="12036" max="12036" width="9.140625" style="123"/>
    <col min="12037" max="12037" width="11.85546875" style="123" customWidth="1"/>
    <col min="12038" max="12038" width="11.7109375" style="123" customWidth="1"/>
    <col min="12039" max="12039" width="12.42578125" style="123" customWidth="1"/>
    <col min="12040" max="12040" width="13.42578125" style="123" customWidth="1"/>
    <col min="12041" max="12289" width="9.140625" style="123"/>
    <col min="12290" max="12290" width="49.140625" style="123" customWidth="1"/>
    <col min="12291" max="12291" width="20.7109375" style="123" customWidth="1"/>
    <col min="12292" max="12292" width="9.140625" style="123"/>
    <col min="12293" max="12293" width="11.85546875" style="123" customWidth="1"/>
    <col min="12294" max="12294" width="11.7109375" style="123" customWidth="1"/>
    <col min="12295" max="12295" width="12.42578125" style="123" customWidth="1"/>
    <col min="12296" max="12296" width="13.42578125" style="123" customWidth="1"/>
    <col min="12297" max="12545" width="9.140625" style="123"/>
    <col min="12546" max="12546" width="49.140625" style="123" customWidth="1"/>
    <col min="12547" max="12547" width="20.7109375" style="123" customWidth="1"/>
    <col min="12548" max="12548" width="9.140625" style="123"/>
    <col min="12549" max="12549" width="11.85546875" style="123" customWidth="1"/>
    <col min="12550" max="12550" width="11.7109375" style="123" customWidth="1"/>
    <col min="12551" max="12551" width="12.42578125" style="123" customWidth="1"/>
    <col min="12552" max="12552" width="13.42578125" style="123" customWidth="1"/>
    <col min="12553" max="12801" width="9.140625" style="123"/>
    <col min="12802" max="12802" width="49.140625" style="123" customWidth="1"/>
    <col min="12803" max="12803" width="20.7109375" style="123" customWidth="1"/>
    <col min="12804" max="12804" width="9.140625" style="123"/>
    <col min="12805" max="12805" width="11.85546875" style="123" customWidth="1"/>
    <col min="12806" max="12806" width="11.7109375" style="123" customWidth="1"/>
    <col min="12807" max="12807" width="12.42578125" style="123" customWidth="1"/>
    <col min="12808" max="12808" width="13.42578125" style="123" customWidth="1"/>
    <col min="12809" max="13057" width="9.140625" style="123"/>
    <col min="13058" max="13058" width="49.140625" style="123" customWidth="1"/>
    <col min="13059" max="13059" width="20.7109375" style="123" customWidth="1"/>
    <col min="13060" max="13060" width="9.140625" style="123"/>
    <col min="13061" max="13061" width="11.85546875" style="123" customWidth="1"/>
    <col min="13062" max="13062" width="11.7109375" style="123" customWidth="1"/>
    <col min="13063" max="13063" width="12.42578125" style="123" customWidth="1"/>
    <col min="13064" max="13064" width="13.42578125" style="123" customWidth="1"/>
    <col min="13065" max="13313" width="9.140625" style="123"/>
    <col min="13314" max="13314" width="49.140625" style="123" customWidth="1"/>
    <col min="13315" max="13315" width="20.7109375" style="123" customWidth="1"/>
    <col min="13316" max="13316" width="9.140625" style="123"/>
    <col min="13317" max="13317" width="11.85546875" style="123" customWidth="1"/>
    <col min="13318" max="13318" width="11.7109375" style="123" customWidth="1"/>
    <col min="13319" max="13319" width="12.42578125" style="123" customWidth="1"/>
    <col min="13320" max="13320" width="13.42578125" style="123" customWidth="1"/>
    <col min="13321" max="13569" width="9.140625" style="123"/>
    <col min="13570" max="13570" width="49.140625" style="123" customWidth="1"/>
    <col min="13571" max="13571" width="20.7109375" style="123" customWidth="1"/>
    <col min="13572" max="13572" width="9.140625" style="123"/>
    <col min="13573" max="13573" width="11.85546875" style="123" customWidth="1"/>
    <col min="13574" max="13574" width="11.7109375" style="123" customWidth="1"/>
    <col min="13575" max="13575" width="12.42578125" style="123" customWidth="1"/>
    <col min="13576" max="13576" width="13.42578125" style="123" customWidth="1"/>
    <col min="13577" max="13825" width="9.140625" style="123"/>
    <col min="13826" max="13826" width="49.140625" style="123" customWidth="1"/>
    <col min="13827" max="13827" width="20.7109375" style="123" customWidth="1"/>
    <col min="13828" max="13828" width="9.140625" style="123"/>
    <col min="13829" max="13829" width="11.85546875" style="123" customWidth="1"/>
    <col min="13830" max="13830" width="11.7109375" style="123" customWidth="1"/>
    <col min="13831" max="13831" width="12.42578125" style="123" customWidth="1"/>
    <col min="13832" max="13832" width="13.42578125" style="123" customWidth="1"/>
    <col min="13833" max="14081" width="9.140625" style="123"/>
    <col min="14082" max="14082" width="49.140625" style="123" customWidth="1"/>
    <col min="14083" max="14083" width="20.7109375" style="123" customWidth="1"/>
    <col min="14084" max="14084" width="9.140625" style="123"/>
    <col min="14085" max="14085" width="11.85546875" style="123" customWidth="1"/>
    <col min="14086" max="14086" width="11.7109375" style="123" customWidth="1"/>
    <col min="14087" max="14087" width="12.42578125" style="123" customWidth="1"/>
    <col min="14088" max="14088" width="13.42578125" style="123" customWidth="1"/>
    <col min="14089" max="14337" width="9.140625" style="123"/>
    <col min="14338" max="14338" width="49.140625" style="123" customWidth="1"/>
    <col min="14339" max="14339" width="20.7109375" style="123" customWidth="1"/>
    <col min="14340" max="14340" width="9.140625" style="123"/>
    <col min="14341" max="14341" width="11.85546875" style="123" customWidth="1"/>
    <col min="14342" max="14342" width="11.7109375" style="123" customWidth="1"/>
    <col min="14343" max="14343" width="12.42578125" style="123" customWidth="1"/>
    <col min="14344" max="14344" width="13.42578125" style="123" customWidth="1"/>
    <col min="14345" max="14593" width="9.140625" style="123"/>
    <col min="14594" max="14594" width="49.140625" style="123" customWidth="1"/>
    <col min="14595" max="14595" width="20.7109375" style="123" customWidth="1"/>
    <col min="14596" max="14596" width="9.140625" style="123"/>
    <col min="14597" max="14597" width="11.85546875" style="123" customWidth="1"/>
    <col min="14598" max="14598" width="11.7109375" style="123" customWidth="1"/>
    <col min="14599" max="14599" width="12.42578125" style="123" customWidth="1"/>
    <col min="14600" max="14600" width="13.42578125" style="123" customWidth="1"/>
    <col min="14601" max="14849" width="9.140625" style="123"/>
    <col min="14850" max="14850" width="49.140625" style="123" customWidth="1"/>
    <col min="14851" max="14851" width="20.7109375" style="123" customWidth="1"/>
    <col min="14852" max="14852" width="9.140625" style="123"/>
    <col min="14853" max="14853" width="11.85546875" style="123" customWidth="1"/>
    <col min="14854" max="14854" width="11.7109375" style="123" customWidth="1"/>
    <col min="14855" max="14855" width="12.42578125" style="123" customWidth="1"/>
    <col min="14856" max="14856" width="13.42578125" style="123" customWidth="1"/>
    <col min="14857" max="15105" width="9.140625" style="123"/>
    <col min="15106" max="15106" width="49.140625" style="123" customWidth="1"/>
    <col min="15107" max="15107" width="20.7109375" style="123" customWidth="1"/>
    <col min="15108" max="15108" width="9.140625" style="123"/>
    <col min="15109" max="15109" width="11.85546875" style="123" customWidth="1"/>
    <col min="15110" max="15110" width="11.7109375" style="123" customWidth="1"/>
    <col min="15111" max="15111" width="12.42578125" style="123" customWidth="1"/>
    <col min="15112" max="15112" width="13.42578125" style="123" customWidth="1"/>
    <col min="15113" max="15361" width="9.140625" style="123"/>
    <col min="15362" max="15362" width="49.140625" style="123" customWidth="1"/>
    <col min="15363" max="15363" width="20.7109375" style="123" customWidth="1"/>
    <col min="15364" max="15364" width="9.140625" style="123"/>
    <col min="15365" max="15365" width="11.85546875" style="123" customWidth="1"/>
    <col min="15366" max="15366" width="11.7109375" style="123" customWidth="1"/>
    <col min="15367" max="15367" width="12.42578125" style="123" customWidth="1"/>
    <col min="15368" max="15368" width="13.42578125" style="123" customWidth="1"/>
    <col min="15369" max="15617" width="9.140625" style="123"/>
    <col min="15618" max="15618" width="49.140625" style="123" customWidth="1"/>
    <col min="15619" max="15619" width="20.7109375" style="123" customWidth="1"/>
    <col min="15620" max="15620" width="9.140625" style="123"/>
    <col min="15621" max="15621" width="11.85546875" style="123" customWidth="1"/>
    <col min="15622" max="15622" width="11.7109375" style="123" customWidth="1"/>
    <col min="15623" max="15623" width="12.42578125" style="123" customWidth="1"/>
    <col min="15624" max="15624" width="13.42578125" style="123" customWidth="1"/>
    <col min="15625" max="15873" width="9.140625" style="123"/>
    <col min="15874" max="15874" width="49.140625" style="123" customWidth="1"/>
    <col min="15875" max="15875" width="20.7109375" style="123" customWidth="1"/>
    <col min="15876" max="15876" width="9.140625" style="123"/>
    <col min="15877" max="15877" width="11.85546875" style="123" customWidth="1"/>
    <col min="15878" max="15878" width="11.7109375" style="123" customWidth="1"/>
    <col min="15879" max="15879" width="12.42578125" style="123" customWidth="1"/>
    <col min="15880" max="15880" width="13.42578125" style="123" customWidth="1"/>
    <col min="15881" max="16129" width="9.140625" style="123"/>
    <col min="16130" max="16130" width="49.140625" style="123" customWidth="1"/>
    <col min="16131" max="16131" width="20.7109375" style="123" customWidth="1"/>
    <col min="16132" max="16132" width="9.140625" style="123"/>
    <col min="16133" max="16133" width="11.85546875" style="123" customWidth="1"/>
    <col min="16134" max="16134" width="11.7109375" style="123" customWidth="1"/>
    <col min="16135" max="16135" width="12.42578125" style="123" customWidth="1"/>
    <col min="16136" max="16136" width="13.42578125" style="123" customWidth="1"/>
    <col min="16137" max="16384" width="9.140625" style="123"/>
  </cols>
  <sheetData>
    <row r="1" spans="2:13" ht="20.100000000000001" customHeight="1">
      <c r="B1" s="1122" t="s">
        <v>569</v>
      </c>
      <c r="C1" s="1129"/>
      <c r="D1" s="1129"/>
      <c r="E1" s="1129"/>
      <c r="F1" s="1129"/>
      <c r="G1" s="1129"/>
      <c r="H1" s="1123"/>
      <c r="I1" s="124"/>
      <c r="J1" s="124"/>
      <c r="K1" s="124"/>
      <c r="L1" s="124"/>
      <c r="M1" s="124"/>
    </row>
    <row r="2" spans="2:13" ht="20.100000000000001" customHeight="1">
      <c r="B2" s="1124" t="s">
        <v>274</v>
      </c>
      <c r="C2" s="1126"/>
      <c r="E2" s="521">
        <v>1</v>
      </c>
      <c r="F2" s="521">
        <v>2</v>
      </c>
      <c r="G2" s="521">
        <v>3</v>
      </c>
      <c r="H2" s="522">
        <v>4</v>
      </c>
    </row>
    <row r="3" spans="2:13" ht="20.100000000000001" customHeight="1">
      <c r="B3" s="510" t="s">
        <v>275</v>
      </c>
      <c r="C3" s="152">
        <f>'Sensitivity-Profit Current Case'!C5</f>
        <v>3842.6360000000004</v>
      </c>
      <c r="E3" s="152">
        <f>C3-C3*0.11</f>
        <v>3419.9460400000003</v>
      </c>
      <c r="F3" s="152">
        <f>C3</f>
        <v>3842.6360000000004</v>
      </c>
      <c r="G3" s="152">
        <f>C3-C3*0.05</f>
        <v>3650.5042000000003</v>
      </c>
      <c r="H3" s="511">
        <f>C3</f>
        <v>3842.6360000000004</v>
      </c>
    </row>
    <row r="4" spans="2:13" ht="20.100000000000001" customHeight="1">
      <c r="B4" s="510" t="s">
        <v>276</v>
      </c>
      <c r="C4" s="153"/>
      <c r="E4" s="154"/>
      <c r="F4" s="154"/>
      <c r="G4" s="154"/>
      <c r="H4" s="514"/>
    </row>
    <row r="5" spans="2:13" ht="20.100000000000001" customHeight="1">
      <c r="B5" s="513" t="s">
        <v>452</v>
      </c>
      <c r="C5" s="154">
        <f>'Sensitivity-Profit Current Case'!C7+'Sensitivity-Profit Current Case'!C8</f>
        <v>1770.3550000000002</v>
      </c>
      <c r="E5" s="154">
        <f>C5</f>
        <v>1770.3550000000002</v>
      </c>
      <c r="F5" s="154">
        <f>E5+E5*16.5%</f>
        <v>2062.4635750000002</v>
      </c>
      <c r="G5" s="154">
        <f>C5+C5*0.09</f>
        <v>1929.6869500000003</v>
      </c>
      <c r="H5" s="514">
        <f>C5</f>
        <v>1770.3550000000002</v>
      </c>
    </row>
    <row r="6" spans="2:13" ht="20.100000000000001" customHeight="1">
      <c r="B6" s="513" t="s">
        <v>17</v>
      </c>
      <c r="C6" s="154">
        <f>'Sensitivity-Profit Current Case'!C10</f>
        <v>157.19999999999999</v>
      </c>
      <c r="E6" s="154">
        <f>C6</f>
        <v>157.19999999999999</v>
      </c>
      <c r="F6" s="154">
        <f>E6</f>
        <v>157.19999999999999</v>
      </c>
      <c r="G6" s="154">
        <f>F6</f>
        <v>157.19999999999999</v>
      </c>
      <c r="H6" s="514">
        <f>G6</f>
        <v>157.19999999999999</v>
      </c>
    </row>
    <row r="7" spans="2:13" ht="20.100000000000001" customHeight="1">
      <c r="B7" s="513" t="s">
        <v>15</v>
      </c>
      <c r="C7" s="154">
        <f>'Sensitivity-Profit Current Case'!C9</f>
        <v>26.91</v>
      </c>
      <c r="E7" s="154">
        <f>C7</f>
        <v>26.91</v>
      </c>
      <c r="F7" s="154">
        <f t="shared" ref="F7:H8" si="0">E7</f>
        <v>26.91</v>
      </c>
      <c r="G7" s="154">
        <f t="shared" si="0"/>
        <v>26.91</v>
      </c>
      <c r="H7" s="514">
        <f t="shared" si="0"/>
        <v>26.91</v>
      </c>
    </row>
    <row r="8" spans="2:13" ht="20.100000000000001" customHeight="1">
      <c r="B8" s="513" t="s">
        <v>21</v>
      </c>
      <c r="C8" s="154">
        <f>'Sensitivity-Profit Current Case'!C12</f>
        <v>123.79020212092189</v>
      </c>
      <c r="E8" s="154">
        <f>C8</f>
        <v>123.79020212092189</v>
      </c>
      <c r="F8" s="154">
        <f t="shared" si="0"/>
        <v>123.79020212092189</v>
      </c>
      <c r="G8" s="154">
        <f t="shared" si="0"/>
        <v>123.79020212092189</v>
      </c>
      <c r="H8" s="514">
        <f t="shared" si="0"/>
        <v>123.79020212092189</v>
      </c>
    </row>
    <row r="9" spans="2:13" ht="20.100000000000001" customHeight="1">
      <c r="B9" s="515" t="s">
        <v>277</v>
      </c>
      <c r="C9" s="152">
        <f>SUM(C5:C8)</f>
        <v>2078.2552021209221</v>
      </c>
      <c r="D9" s="130"/>
      <c r="E9" s="152">
        <f>SUM(E5:E8)</f>
        <v>2078.2552021209221</v>
      </c>
      <c r="F9" s="152">
        <f>SUM(F5:F8)</f>
        <v>2370.3637771209219</v>
      </c>
      <c r="G9" s="152">
        <f>SUM(G5:G8)</f>
        <v>2237.5871521209219</v>
      </c>
      <c r="H9" s="511">
        <f>SUM(H5:H8)+SUM(H5:H8)*14.5%</f>
        <v>2379.6022064284557</v>
      </c>
    </row>
    <row r="10" spans="2:13" ht="20.100000000000001" customHeight="1">
      <c r="B10" s="510" t="s">
        <v>278</v>
      </c>
      <c r="C10" s="152">
        <f>+C3-C9</f>
        <v>1764.3807978790783</v>
      </c>
      <c r="E10" s="152">
        <f>+E3-E9</f>
        <v>1341.6908378790781</v>
      </c>
      <c r="F10" s="152">
        <f>+F3-F9</f>
        <v>1472.2722228790785</v>
      </c>
      <c r="G10" s="152">
        <f>+G3-G9</f>
        <v>1412.9170478790784</v>
      </c>
      <c r="H10" s="511">
        <f>+H3-H9</f>
        <v>1463.0337935715447</v>
      </c>
      <c r="I10" s="125"/>
    </row>
    <row r="11" spans="2:13" ht="20.100000000000001" customHeight="1">
      <c r="B11" s="510" t="s">
        <v>279</v>
      </c>
      <c r="C11" s="153"/>
      <c r="E11" s="125"/>
      <c r="F11" s="125"/>
      <c r="G11" s="127"/>
      <c r="H11" s="518"/>
      <c r="I11" s="125"/>
    </row>
    <row r="12" spans="2:13" ht="20.100000000000001" customHeight="1">
      <c r="B12" s="513" t="s">
        <v>20</v>
      </c>
      <c r="C12" s="154">
        <f>'Cashflow Current'!H18</f>
        <v>69.089377505903997</v>
      </c>
      <c r="E12" s="154">
        <f>C12</f>
        <v>69.089377505903997</v>
      </c>
      <c r="F12" s="154">
        <f t="shared" ref="F12:H13" si="1">E12</f>
        <v>69.089377505903997</v>
      </c>
      <c r="G12" s="154">
        <f t="shared" si="1"/>
        <v>69.089377505903997</v>
      </c>
      <c r="H12" s="514">
        <f t="shared" si="1"/>
        <v>69.089377505903997</v>
      </c>
      <c r="I12" s="125"/>
    </row>
    <row r="13" spans="2:13" ht="20.100000000000001" customHeight="1">
      <c r="B13" s="513" t="s">
        <v>31</v>
      </c>
      <c r="C13" s="154">
        <f>' Break EvenPoint'!E14</f>
        <v>605.34501838079996</v>
      </c>
      <c r="E13" s="154">
        <f>C13</f>
        <v>605.34501838079996</v>
      </c>
      <c r="F13" s="154">
        <f t="shared" si="1"/>
        <v>605.34501838079996</v>
      </c>
      <c r="G13" s="154">
        <f t="shared" si="1"/>
        <v>605.34501838079996</v>
      </c>
      <c r="H13" s="514">
        <f t="shared" si="1"/>
        <v>605.34501838079996</v>
      </c>
      <c r="I13" s="132"/>
    </row>
    <row r="14" spans="2:13" ht="20.100000000000001" customHeight="1">
      <c r="B14" s="513" t="s">
        <v>476</v>
      </c>
      <c r="C14" s="154">
        <f>'Interest Calculation'!B12</f>
        <v>454.00876378559997</v>
      </c>
      <c r="E14" s="154">
        <f>C14</f>
        <v>454.00876378559997</v>
      </c>
      <c r="F14" s="154">
        <f>E14</f>
        <v>454.00876378559997</v>
      </c>
      <c r="G14" s="154">
        <f t="shared" ref="G14:H14" si="2">E14</f>
        <v>454.00876378559997</v>
      </c>
      <c r="H14" s="514">
        <f t="shared" si="2"/>
        <v>454.00876378559997</v>
      </c>
      <c r="I14" s="132"/>
    </row>
    <row r="15" spans="2:13" ht="20.100000000000001" customHeight="1">
      <c r="B15" s="513" t="s">
        <v>145</v>
      </c>
      <c r="C15" s="152">
        <f>SUM(C12:C14)</f>
        <v>1128.4431596723039</v>
      </c>
      <c r="E15" s="152">
        <f>SUM(E12:E14)</f>
        <v>1128.4431596723039</v>
      </c>
      <c r="F15" s="152">
        <f>SUM(F12:F14)</f>
        <v>1128.4431596723039</v>
      </c>
      <c r="G15" s="152">
        <f>SUM(G12:G14)</f>
        <v>1128.4431596723039</v>
      </c>
      <c r="H15" s="511">
        <f>SUM(H12:H14)</f>
        <v>1128.4431596723039</v>
      </c>
      <c r="I15" s="132"/>
    </row>
    <row r="16" spans="2:13" ht="20.100000000000001" customHeight="1">
      <c r="B16" s="516" t="s">
        <v>280</v>
      </c>
      <c r="C16" s="519">
        <f>C15/C10</f>
        <v>0.63956894170962386</v>
      </c>
      <c r="D16" s="520"/>
      <c r="E16" s="519">
        <f>E15/E10</f>
        <v>0.84106049457423993</v>
      </c>
      <c r="F16" s="519">
        <f>F15/F10</f>
        <v>0.76646366217899209</v>
      </c>
      <c r="G16" s="519">
        <f>G15/G10</f>
        <v>0.7986620030993351</v>
      </c>
      <c r="H16" s="517">
        <f>H15/H10</f>
        <v>0.77130355062924327</v>
      </c>
      <c r="I16" s="132"/>
      <c r="J16" s="124"/>
    </row>
    <row r="17" spans="1:9" ht="20.100000000000001" customHeight="1">
      <c r="B17" s="127"/>
      <c r="C17" s="127"/>
      <c r="H17" s="132"/>
      <c r="I17" s="132"/>
    </row>
    <row r="18" spans="1:9" ht="20.100000000000001" customHeight="1">
      <c r="A18" s="526" t="s">
        <v>117</v>
      </c>
      <c r="B18" s="1127" t="s">
        <v>368</v>
      </c>
      <c r="C18" s="1127"/>
    </row>
    <row r="19" spans="1:9">
      <c r="A19" s="523"/>
      <c r="B19" s="343" t="s">
        <v>362</v>
      </c>
      <c r="C19" s="344" t="s">
        <v>363</v>
      </c>
    </row>
    <row r="20" spans="1:9">
      <c r="A20" s="524"/>
      <c r="B20" s="345" t="s">
        <v>444</v>
      </c>
      <c r="C20" s="346">
        <f>C16</f>
        <v>0.63956894170962386</v>
      </c>
    </row>
    <row r="21" spans="1:9">
      <c r="A21" s="524"/>
      <c r="B21" s="345"/>
      <c r="C21" s="347"/>
    </row>
    <row r="22" spans="1:9">
      <c r="A22" s="524">
        <v>1</v>
      </c>
      <c r="B22" s="345" t="s">
        <v>364</v>
      </c>
      <c r="C22" s="348">
        <f>E16</f>
        <v>0.84106049457423993</v>
      </c>
    </row>
    <row r="23" spans="1:9">
      <c r="A23" s="524">
        <v>2</v>
      </c>
      <c r="B23" s="345" t="s">
        <v>365</v>
      </c>
      <c r="C23" s="348">
        <f>F16</f>
        <v>0.76646366217899209</v>
      </c>
    </row>
    <row r="24" spans="1:9">
      <c r="A24" s="524">
        <v>3</v>
      </c>
      <c r="B24" s="345" t="s">
        <v>366</v>
      </c>
      <c r="C24" s="348">
        <f>G16</f>
        <v>0.7986620030993351</v>
      </c>
    </row>
    <row r="25" spans="1:9">
      <c r="A25" s="525">
        <v>4</v>
      </c>
      <c r="B25" s="349" t="s">
        <v>367</v>
      </c>
      <c r="C25" s="350">
        <f>H16</f>
        <v>0.77130355062924327</v>
      </c>
    </row>
    <row r="27" spans="1:9" ht="40.5" customHeight="1">
      <c r="B27" s="1128" t="s">
        <v>419</v>
      </c>
      <c r="C27" s="1128"/>
    </row>
  </sheetData>
  <mergeCells count="4">
    <mergeCell ref="B1:H1"/>
    <mergeCell ref="B2:C2"/>
    <mergeCell ref="B18:C18"/>
    <mergeCell ref="B27:C27"/>
  </mergeCells>
  <printOptions horizontalCentered="1" gridLines="1"/>
  <pageMargins left="1"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2AE41-39CB-4B3E-92F2-8128469439FA}">
  <dimension ref="A1:K17"/>
  <sheetViews>
    <sheetView showGridLines="0" workbookViewId="0">
      <selection activeCell="J21" sqref="J21"/>
    </sheetView>
  </sheetViews>
  <sheetFormatPr defaultRowHeight="15"/>
  <cols>
    <col min="1" max="1" width="21" bestFit="1" customWidth="1"/>
    <col min="2" max="11" width="13.140625" customWidth="1"/>
  </cols>
  <sheetData>
    <row r="1" spans="1:11">
      <c r="A1" s="1107" t="s">
        <v>455</v>
      </c>
      <c r="B1" s="1108"/>
      <c r="C1" s="1108"/>
      <c r="D1" s="1108"/>
      <c r="E1" s="1108"/>
      <c r="F1" s="1108"/>
      <c r="G1" s="1108"/>
      <c r="H1" s="1108"/>
      <c r="I1" s="1108"/>
      <c r="J1" s="1108"/>
      <c r="K1" s="1109"/>
    </row>
    <row r="2" spans="1:11">
      <c r="A2" s="505" t="s">
        <v>259</v>
      </c>
      <c r="B2" s="506">
        <v>0.7</v>
      </c>
      <c r="C2" s="506">
        <v>0.9</v>
      </c>
      <c r="D2" s="506">
        <v>1</v>
      </c>
      <c r="E2" s="506">
        <v>1</v>
      </c>
      <c r="F2" s="506">
        <v>1</v>
      </c>
      <c r="G2" s="506">
        <v>1</v>
      </c>
      <c r="H2" s="506">
        <v>1</v>
      </c>
      <c r="I2" s="506">
        <v>1</v>
      </c>
      <c r="J2" s="506">
        <v>1</v>
      </c>
      <c r="K2" s="507">
        <v>1</v>
      </c>
    </row>
    <row r="3" spans="1:11">
      <c r="A3" s="1110" t="s">
        <v>260</v>
      </c>
      <c r="B3" s="1111"/>
      <c r="C3" s="1111"/>
      <c r="D3" s="1111"/>
      <c r="E3" s="1111"/>
      <c r="F3" s="1111"/>
      <c r="G3" s="1111"/>
      <c r="H3" s="1111"/>
      <c r="I3" s="1111"/>
      <c r="J3" s="1111"/>
      <c r="K3" s="1112"/>
    </row>
    <row r="4" spans="1:11">
      <c r="A4" s="505"/>
      <c r="B4" s="134" t="s">
        <v>261</v>
      </c>
      <c r="C4" s="134" t="s">
        <v>262</v>
      </c>
      <c r="D4" s="134" t="s">
        <v>263</v>
      </c>
      <c r="E4" s="134" t="s">
        <v>264</v>
      </c>
      <c r="F4" s="134" t="s">
        <v>265</v>
      </c>
      <c r="G4" s="134" t="s">
        <v>266</v>
      </c>
      <c r="H4" s="134" t="s">
        <v>267</v>
      </c>
      <c r="I4" s="134" t="s">
        <v>268</v>
      </c>
      <c r="J4" s="134" t="s">
        <v>269</v>
      </c>
      <c r="K4" s="508" t="s">
        <v>270</v>
      </c>
    </row>
    <row r="5" spans="1:11">
      <c r="A5" s="505" t="s">
        <v>300</v>
      </c>
      <c r="B5" s="146">
        <f>'Cashflow - PVC Phenol Propane'!H11</f>
        <v>4461.0919390932513</v>
      </c>
      <c r="C5" s="146">
        <f>'Cashflow - PVC Phenol Propane'!I11</f>
        <v>5681.9324814614465</v>
      </c>
      <c r="D5" s="146">
        <f>'Cashflow - PVC Phenol Propane'!J11</f>
        <v>6385.8926401717081</v>
      </c>
      <c r="E5" s="146">
        <f>'Cashflow - PVC Phenol Propane'!K11</f>
        <v>6743.5121296301859</v>
      </c>
      <c r="F5" s="146">
        <f>'Cashflow - PVC Phenol Propane'!L11</f>
        <v>7121.291440926283</v>
      </c>
      <c r="G5" s="146">
        <f>'Cashflow - PVC Phenol Propane'!M11</f>
        <v>7520.3732140359316</v>
      </c>
      <c r="H5" s="146">
        <f>'Cashflow - PVC Phenol Propane'!N11</f>
        <v>7941.9651395389074</v>
      </c>
      <c r="I5" s="146">
        <f>'Cashflow - PVC Phenol Propane'!O11</f>
        <v>8387.3436751986737</v>
      </c>
      <c r="J5" s="146">
        <f>'Cashflow - PVC Phenol Propane'!P11</f>
        <v>8857.857975493509</v>
      </c>
      <c r="K5" s="527">
        <f>'Cashflow - PVC Phenol Propane'!Q11</f>
        <v>9354.9340463285807</v>
      </c>
    </row>
    <row r="6" spans="1:11">
      <c r="A6" s="505" t="s">
        <v>446</v>
      </c>
      <c r="B6" s="146">
        <f>SUM(B7:B12)</f>
        <v>2450.9623805129163</v>
      </c>
      <c r="C6" s="146">
        <f t="shared" ref="C6:K6" si="0">SUM(C7:C12)</f>
        <v>2946.6129095194378</v>
      </c>
      <c r="D6" s="146">
        <f t="shared" si="0"/>
        <v>3210.7161016281257</v>
      </c>
      <c r="E6" s="146">
        <f t="shared" si="0"/>
        <v>3389.3303321565791</v>
      </c>
      <c r="F6" s="146">
        <f t="shared" si="0"/>
        <v>3575.4881864158701</v>
      </c>
      <c r="G6" s="146">
        <f t="shared" si="0"/>
        <v>3773.1553244159036</v>
      </c>
      <c r="H6" s="146">
        <f t="shared" si="0"/>
        <v>3981.5395237768048</v>
      </c>
      <c r="I6" s="146">
        <f t="shared" si="0"/>
        <v>4201.9881932772587</v>
      </c>
      <c r="J6" s="146">
        <f t="shared" si="0"/>
        <v>4436.5352884243102</v>
      </c>
      <c r="K6" s="527">
        <f t="shared" si="0"/>
        <v>4678.5371113846586</v>
      </c>
    </row>
    <row r="7" spans="1:11">
      <c r="A7" s="52" t="s">
        <v>28</v>
      </c>
      <c r="B7" s="146">
        <f>'Cashflow - PVC Phenol Propane'!H18</f>
        <v>1737.9815164706479</v>
      </c>
      <c r="C7" s="146">
        <f>'Cashflow - PVC Phenol Propane'!I18</f>
        <v>2141.4711350877678</v>
      </c>
      <c r="D7" s="146">
        <f>'Cashflow - PVC Phenol Propane'!J18</f>
        <v>2352.3129350334357</v>
      </c>
      <c r="E7" s="146">
        <f>'Cashflow - PVC Phenol Propane'!K18</f>
        <v>2490.0649396560043</v>
      </c>
      <c r="F7" s="146">
        <f>'Cashflow - PVC Phenol Propane'!L18</f>
        <v>2633.4375274323902</v>
      </c>
      <c r="G7" s="146">
        <f>'Cashflow - PVC Phenol Propane'!M18</f>
        <v>2786.3611016856557</v>
      </c>
      <c r="H7" s="146">
        <f>'Cashflow - PVC Phenol Propane'!N18</f>
        <v>2947.8495441158739</v>
      </c>
      <c r="I7" s="146">
        <f>'Cashflow - PVC Phenol Propane'!O18</f>
        <v>3119.1452291561518</v>
      </c>
      <c r="J7" s="146">
        <f>'Cashflow - PVC Phenol Propane'!P18</f>
        <v>3302.1718684443622</v>
      </c>
      <c r="K7" s="527">
        <f>'Cashflow - PVC Phenol Propane'!Q18</f>
        <v>3490.1700478287239</v>
      </c>
    </row>
    <row r="8" spans="1:11">
      <c r="A8" s="52" t="s">
        <v>328</v>
      </c>
      <c r="B8" s="146">
        <f>'Cashflow - PVC Phenol Propane'!H19</f>
        <v>92.910999999999987</v>
      </c>
      <c r="C8" s="146">
        <f>'Cashflow - PVC Phenol Propane'!I19</f>
        <v>126.76746975749997</v>
      </c>
      <c r="D8" s="146">
        <f>'Cashflow - PVC Phenol Propane'!J19</f>
        <v>149.50201821018209</v>
      </c>
      <c r="E8" s="146">
        <f>'Cashflow - PVC Phenol Propane'!K19</f>
        <v>158.46369243876413</v>
      </c>
      <c r="F8" s="146">
        <f>'Cashflow - PVC Phenol Propane'!L19</f>
        <v>167.91288241888759</v>
      </c>
      <c r="G8" s="146">
        <f>'Cashflow - PVC Phenol Propane'!M19</f>
        <v>177.8202462202492</v>
      </c>
      <c r="H8" s="146">
        <f>'Cashflow - PVC Phenol Propane'!N19</f>
        <v>188.31217420798251</v>
      </c>
      <c r="I8" s="146">
        <f>'Cashflow - PVC Phenol Propane'!O19</f>
        <v>199.42315742277611</v>
      </c>
      <c r="J8" s="146">
        <f>'Cashflow - PVC Phenol Propane'!P19</f>
        <v>211.18972198019213</v>
      </c>
      <c r="K8" s="527">
        <f>'Cashflow - PVC Phenol Propane'!Q19</f>
        <v>223.65054914618941</v>
      </c>
    </row>
    <row r="9" spans="1:11">
      <c r="A9" s="52" t="s">
        <v>29</v>
      </c>
      <c r="B9" s="146">
        <f>'Cashflow - PVC Phenol Propane'!H20</f>
        <v>49.41</v>
      </c>
      <c r="C9" s="146">
        <f>'Cashflow - PVC Phenol Propane'!I20</f>
        <v>51.633449999999996</v>
      </c>
      <c r="D9" s="146">
        <f>'Cashflow - PVC Phenol Propane'!J20</f>
        <v>53.956955249999993</v>
      </c>
      <c r="E9" s="146">
        <f>'Cashflow - PVC Phenol Propane'!K20</f>
        <v>56.385018236249991</v>
      </c>
      <c r="F9" s="146">
        <f>'Cashflow - PVC Phenol Propane'!L20</f>
        <v>58.922344056881229</v>
      </c>
      <c r="G9" s="146">
        <f>'Cashflow - PVC Phenol Propane'!M20</f>
        <v>61.573849539440886</v>
      </c>
      <c r="H9" s="146">
        <f>'Cashflow - PVC Phenol Propane'!N20</f>
        <v>64.344672768715697</v>
      </c>
      <c r="I9" s="146">
        <f>'Cashflow - PVC Phenol Propane'!O20</f>
        <v>67.240183043307923</v>
      </c>
      <c r="J9" s="146">
        <f>'Cashflow - PVC Phenol Propane'!P20</f>
        <v>70.265991280256742</v>
      </c>
      <c r="K9" s="527">
        <f>'Cashflow - PVC Phenol Propane'!Q20</f>
        <v>73.427960887868295</v>
      </c>
    </row>
    <row r="10" spans="1:11">
      <c r="A10" s="52" t="s">
        <v>17</v>
      </c>
      <c r="B10" s="146">
        <f>'Cashflow - PVC Phenol Propane'!H21</f>
        <v>325.90499999999997</v>
      </c>
      <c r="C10" s="146">
        <f>'Cashflow - PVC Phenol Propane'!I21</f>
        <v>360.15924999999993</v>
      </c>
      <c r="D10" s="146">
        <f>'Cashflow - PVC Phenol Propane'!J21</f>
        <v>376.36641624999993</v>
      </c>
      <c r="E10" s="146">
        <f>'Cashflow - PVC Phenol Propane'!K21</f>
        <v>393.30290498124987</v>
      </c>
      <c r="F10" s="146">
        <f>'Cashflow - PVC Phenol Propane'!L21</f>
        <v>411.00153570540601</v>
      </c>
      <c r="G10" s="146">
        <f>'Cashflow - PVC Phenol Propane'!M21</f>
        <v>429.49660481214931</v>
      </c>
      <c r="H10" s="146">
        <f>'Cashflow - PVC Phenol Propane'!N21</f>
        <v>448.82395202869594</v>
      </c>
      <c r="I10" s="146">
        <f>'Cashflow - PVC Phenol Propane'!O21</f>
        <v>469.02102986998727</v>
      </c>
      <c r="J10" s="146">
        <f>'Cashflow - PVC Phenol Propane'!P21</f>
        <v>490.12697621413656</v>
      </c>
      <c r="K10" s="527">
        <f>'Cashflow - PVC Phenol Propane'!Q21</f>
        <v>512.18269014377267</v>
      </c>
    </row>
    <row r="11" spans="1:11">
      <c r="A11" s="52" t="s">
        <v>20</v>
      </c>
      <c r="B11" s="146">
        <f>'Cashflow - PVC Phenol Propane'!H22</f>
        <v>94.911727505903997</v>
      </c>
      <c r="C11" s="146">
        <f>'Cashflow - PVC Phenol Propane'!I22</f>
        <v>102.18101699366967</v>
      </c>
      <c r="D11" s="146">
        <f>'Cashflow - PVC Phenol Propane'!J22</f>
        <v>106.7791627583848</v>
      </c>
      <c r="E11" s="146">
        <f>'Cashflow - PVC Phenol Propane'!K22</f>
        <v>111.58422508251212</v>
      </c>
      <c r="F11" s="146">
        <f>'Cashflow - PVC Phenol Propane'!L22</f>
        <v>116.60551521122512</v>
      </c>
      <c r="G11" s="146">
        <f>'Cashflow - PVC Phenol Propane'!M22</f>
        <v>121.85276339573025</v>
      </c>
      <c r="H11" s="146">
        <f>'Cashflow - PVC Phenol Propane'!N22</f>
        <v>127.33613774853808</v>
      </c>
      <c r="I11" s="146">
        <f>'Cashflow - PVC Phenol Propane'!O22</f>
        <v>133.0662639472223</v>
      </c>
      <c r="J11" s="146">
        <f>'Cashflow - PVC Phenol Propane'!P22</f>
        <v>139.05424582484727</v>
      </c>
      <c r="K11" s="527">
        <f>'Cashflow - PVC Phenol Propane'!Q22</f>
        <v>145.31168688696539</v>
      </c>
    </row>
    <row r="12" spans="1:11">
      <c r="A12" s="52" t="s">
        <v>21</v>
      </c>
      <c r="B12" s="146">
        <f>'Cashflow - PVC Phenol Propane'!H23</f>
        <v>149.84313653636434</v>
      </c>
      <c r="C12" s="146">
        <f>'Cashflow - PVC Phenol Propane'!I23</f>
        <v>164.40058768050073</v>
      </c>
      <c r="D12" s="146">
        <f>'Cashflow - PVC Phenol Propane'!J23</f>
        <v>171.79861412612325</v>
      </c>
      <c r="E12" s="146">
        <f>'Cashflow - PVC Phenol Propane'!K23</f>
        <v>179.52955176179879</v>
      </c>
      <c r="F12" s="146">
        <f>'Cashflow - PVC Phenol Propane'!L23</f>
        <v>187.60838159107971</v>
      </c>
      <c r="G12" s="146">
        <f>'Cashflow - PVC Phenol Propane'!M23</f>
        <v>196.05075876267827</v>
      </c>
      <c r="H12" s="146">
        <f>'Cashflow - PVC Phenol Propane'!N23</f>
        <v>204.87304290699876</v>
      </c>
      <c r="I12" s="146">
        <f>'Cashflow - PVC Phenol Propane'!O23</f>
        <v>214.09232983781371</v>
      </c>
      <c r="J12" s="146">
        <f>'Cashflow - PVC Phenol Propane'!P23</f>
        <v>223.72648468051526</v>
      </c>
      <c r="K12" s="527">
        <f>'Cashflow - PVC Phenol Propane'!Q23</f>
        <v>233.79417649113844</v>
      </c>
    </row>
    <row r="13" spans="1:11">
      <c r="A13" s="505" t="s">
        <v>447</v>
      </c>
      <c r="B13" s="146">
        <f t="shared" ref="B13:K13" si="1">B5-B6</f>
        <v>2010.129558580335</v>
      </c>
      <c r="C13" s="146">
        <f t="shared" si="1"/>
        <v>2735.3195719420087</v>
      </c>
      <c r="D13" s="146">
        <f t="shared" si="1"/>
        <v>3175.1765385435824</v>
      </c>
      <c r="E13" s="146">
        <f t="shared" si="1"/>
        <v>3354.1817974736068</v>
      </c>
      <c r="F13" s="146">
        <f t="shared" si="1"/>
        <v>3545.8032545104129</v>
      </c>
      <c r="G13" s="146">
        <f t="shared" si="1"/>
        <v>3747.217889620028</v>
      </c>
      <c r="H13" s="146">
        <f t="shared" si="1"/>
        <v>3960.4256157621026</v>
      </c>
      <c r="I13" s="146">
        <f t="shared" si="1"/>
        <v>4185.355481921415</v>
      </c>
      <c r="J13" s="146">
        <f t="shared" si="1"/>
        <v>4421.3226870691988</v>
      </c>
      <c r="K13" s="527">
        <f t="shared" si="1"/>
        <v>4676.3969349439221</v>
      </c>
    </row>
    <row r="14" spans="1:11">
      <c r="A14" s="505" t="s">
        <v>453</v>
      </c>
      <c r="B14" s="146">
        <f>-'Cashflow - PVC Phenol Propane'!$G$10/10</f>
        <v>829.81247678080001</v>
      </c>
      <c r="C14" s="146">
        <f>-'Cashflow - PVC Phenol Propane'!$G$10/10</f>
        <v>829.81247678080001</v>
      </c>
      <c r="D14" s="146">
        <f>-'Cashflow - PVC Phenol Propane'!$G$10/10</f>
        <v>829.81247678080001</v>
      </c>
      <c r="E14" s="146">
        <f>-'Cashflow - PVC Phenol Propane'!$G$10/10</f>
        <v>829.81247678080001</v>
      </c>
      <c r="F14" s="146">
        <f>-'Cashflow - PVC Phenol Propane'!$G$10/10</f>
        <v>829.81247678080001</v>
      </c>
      <c r="G14" s="146">
        <f>-'Cashflow - PVC Phenol Propane'!$G$10/10</f>
        <v>829.81247678080001</v>
      </c>
      <c r="H14" s="146">
        <f>-'Cashflow - PVC Phenol Propane'!$G$10/10</f>
        <v>829.81247678080001</v>
      </c>
      <c r="I14" s="146">
        <f>-'Cashflow - PVC Phenol Propane'!$G$10/10</f>
        <v>829.81247678080001</v>
      </c>
      <c r="J14" s="146">
        <f>-'Cashflow - PVC Phenol Propane'!$G$10/10</f>
        <v>829.81247678080001</v>
      </c>
      <c r="K14" s="527">
        <f>-'Cashflow - PVC Phenol Propane'!$G$10/10</f>
        <v>829.81247678080001</v>
      </c>
    </row>
    <row r="15" spans="1:11">
      <c r="A15" s="505" t="s">
        <v>454</v>
      </c>
      <c r="B15" s="146">
        <f>B13-B14</f>
        <v>1180.3170817995351</v>
      </c>
      <c r="C15" s="146">
        <f t="shared" ref="C15:K15" si="2">C13-C14</f>
        <v>1905.5070951612088</v>
      </c>
      <c r="D15" s="146">
        <f t="shared" si="2"/>
        <v>2345.3640617627825</v>
      </c>
      <c r="E15" s="146">
        <f t="shared" si="2"/>
        <v>2524.3693206928069</v>
      </c>
      <c r="F15" s="146">
        <f t="shared" si="2"/>
        <v>2715.990777729613</v>
      </c>
      <c r="G15" s="146">
        <f t="shared" si="2"/>
        <v>2917.4054128392281</v>
      </c>
      <c r="H15" s="146">
        <f t="shared" si="2"/>
        <v>3130.6131389813027</v>
      </c>
      <c r="I15" s="146">
        <f t="shared" si="2"/>
        <v>3355.5430051406152</v>
      </c>
      <c r="J15" s="146">
        <f t="shared" si="2"/>
        <v>3591.5102102883989</v>
      </c>
      <c r="K15" s="527">
        <f t="shared" si="2"/>
        <v>3846.5844581631222</v>
      </c>
    </row>
    <row r="16" spans="1:11">
      <c r="A16" s="505" t="s">
        <v>271</v>
      </c>
      <c r="B16" s="146">
        <f>B15*0.2517</f>
        <v>297.08580948894297</v>
      </c>
      <c r="C16" s="146">
        <f t="shared" ref="C16:K16" si="3">C15*0.2517</f>
        <v>479.61613585207618</v>
      </c>
      <c r="D16" s="146">
        <f t="shared" si="3"/>
        <v>590.32813434569232</v>
      </c>
      <c r="E16" s="146">
        <f t="shared" si="3"/>
        <v>635.38375801837947</v>
      </c>
      <c r="F16" s="146">
        <f t="shared" si="3"/>
        <v>683.6148787545435</v>
      </c>
      <c r="G16" s="146">
        <f t="shared" si="3"/>
        <v>734.31094241163362</v>
      </c>
      <c r="H16" s="146">
        <f t="shared" si="3"/>
        <v>787.97532708159383</v>
      </c>
      <c r="I16" s="146">
        <f t="shared" si="3"/>
        <v>844.59017439389277</v>
      </c>
      <c r="J16" s="146">
        <f t="shared" si="3"/>
        <v>903.98311992958998</v>
      </c>
      <c r="K16" s="527">
        <f t="shared" si="3"/>
        <v>968.18530811965775</v>
      </c>
    </row>
    <row r="17" spans="1:11">
      <c r="A17" s="509" t="s">
        <v>272</v>
      </c>
      <c r="B17" s="528">
        <f>B15-B16</f>
        <v>883.2312723105922</v>
      </c>
      <c r="C17" s="528">
        <f t="shared" ref="C17:K17" si="4">C15-C16</f>
        <v>1425.8909593091325</v>
      </c>
      <c r="D17" s="528">
        <f t="shared" si="4"/>
        <v>1755.0359274170901</v>
      </c>
      <c r="E17" s="528">
        <f t="shared" si="4"/>
        <v>1888.9855626744275</v>
      </c>
      <c r="F17" s="528">
        <f t="shared" si="4"/>
        <v>2032.3758989750695</v>
      </c>
      <c r="G17" s="528">
        <f t="shared" si="4"/>
        <v>2183.0944704275944</v>
      </c>
      <c r="H17" s="528">
        <f t="shared" si="4"/>
        <v>2342.637811899709</v>
      </c>
      <c r="I17" s="528">
        <f t="shared" si="4"/>
        <v>2510.9528307467226</v>
      </c>
      <c r="J17" s="528">
        <f t="shared" si="4"/>
        <v>2687.5270903588089</v>
      </c>
      <c r="K17" s="529">
        <f t="shared" si="4"/>
        <v>2878.3991500434645</v>
      </c>
    </row>
  </sheetData>
  <mergeCells count="2">
    <mergeCell ref="A1:K1"/>
    <mergeCell ref="A3:K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B14BC-54E9-4783-B7F7-D6D5F130E908}">
  <sheetPr codeName="Sheet37"/>
  <dimension ref="A1:L39"/>
  <sheetViews>
    <sheetView showGridLines="0" zoomScaleNormal="100" zoomScaleSheetLayoutView="100" workbookViewId="0">
      <selection activeCell="B17" sqref="B17"/>
    </sheetView>
  </sheetViews>
  <sheetFormatPr defaultRowHeight="12.75"/>
  <cols>
    <col min="1" max="1" width="38.140625" style="119" customWidth="1"/>
    <col min="2" max="3" width="9.7109375" style="119" bestFit="1" customWidth="1"/>
    <col min="4" max="4" width="9.5703125" style="119" bestFit="1" customWidth="1"/>
    <col min="5" max="10" width="9.7109375" style="119" bestFit="1" customWidth="1"/>
    <col min="11" max="255" width="9.140625" style="119"/>
    <col min="256" max="256" width="38.140625" style="119" customWidth="1"/>
    <col min="257" max="258" width="9.5703125" style="119" bestFit="1" customWidth="1"/>
    <col min="259" max="259" width="9.28515625" style="119" bestFit="1" customWidth="1"/>
    <col min="260" max="265" width="9.5703125" style="119" bestFit="1" customWidth="1"/>
    <col min="266" max="266" width="10.28515625" style="119" bestFit="1" customWidth="1"/>
    <col min="267" max="511" width="9.140625" style="119"/>
    <col min="512" max="512" width="38.140625" style="119" customWidth="1"/>
    <col min="513" max="514" width="9.5703125" style="119" bestFit="1" customWidth="1"/>
    <col min="515" max="515" width="9.28515625" style="119" bestFit="1" customWidth="1"/>
    <col min="516" max="521" width="9.5703125" style="119" bestFit="1" customWidth="1"/>
    <col min="522" max="522" width="10.28515625" style="119" bestFit="1" customWidth="1"/>
    <col min="523" max="767" width="9.140625" style="119"/>
    <col min="768" max="768" width="38.140625" style="119" customWidth="1"/>
    <col min="769" max="770" width="9.5703125" style="119" bestFit="1" customWidth="1"/>
    <col min="771" max="771" width="9.28515625" style="119" bestFit="1" customWidth="1"/>
    <col min="772" max="777" width="9.5703125" style="119" bestFit="1" customWidth="1"/>
    <col min="778" max="778" width="10.28515625" style="119" bestFit="1" customWidth="1"/>
    <col min="779" max="1023" width="9.140625" style="119"/>
    <col min="1024" max="1024" width="38.140625" style="119" customWidth="1"/>
    <col min="1025" max="1026" width="9.5703125" style="119" bestFit="1" customWidth="1"/>
    <col min="1027" max="1027" width="9.28515625" style="119" bestFit="1" customWidth="1"/>
    <col min="1028" max="1033" width="9.5703125" style="119" bestFit="1" customWidth="1"/>
    <col min="1034" max="1034" width="10.28515625" style="119" bestFit="1" customWidth="1"/>
    <col min="1035" max="1279" width="9.140625" style="119"/>
    <col min="1280" max="1280" width="38.140625" style="119" customWidth="1"/>
    <col min="1281" max="1282" width="9.5703125" style="119" bestFit="1" customWidth="1"/>
    <col min="1283" max="1283" width="9.28515625" style="119" bestFit="1" customWidth="1"/>
    <col min="1284" max="1289" width="9.5703125" style="119" bestFit="1" customWidth="1"/>
    <col min="1290" max="1290" width="10.28515625" style="119" bestFit="1" customWidth="1"/>
    <col min="1291" max="1535" width="9.140625" style="119"/>
    <col min="1536" max="1536" width="38.140625" style="119" customWidth="1"/>
    <col min="1537" max="1538" width="9.5703125" style="119" bestFit="1" customWidth="1"/>
    <col min="1539" max="1539" width="9.28515625" style="119" bestFit="1" customWidth="1"/>
    <col min="1540" max="1545" width="9.5703125" style="119" bestFit="1" customWidth="1"/>
    <col min="1546" max="1546" width="10.28515625" style="119" bestFit="1" customWidth="1"/>
    <col min="1547" max="1791" width="9.140625" style="119"/>
    <col min="1792" max="1792" width="38.140625" style="119" customWidth="1"/>
    <col min="1793" max="1794" width="9.5703125" style="119" bestFit="1" customWidth="1"/>
    <col min="1795" max="1795" width="9.28515625" style="119" bestFit="1" customWidth="1"/>
    <col min="1796" max="1801" width="9.5703125" style="119" bestFit="1" customWidth="1"/>
    <col min="1802" max="1802" width="10.28515625" style="119" bestFit="1" customWidth="1"/>
    <col min="1803" max="2047" width="9.140625" style="119"/>
    <col min="2048" max="2048" width="38.140625" style="119" customWidth="1"/>
    <col min="2049" max="2050" width="9.5703125" style="119" bestFit="1" customWidth="1"/>
    <col min="2051" max="2051" width="9.28515625" style="119" bestFit="1" customWidth="1"/>
    <col min="2052" max="2057" width="9.5703125" style="119" bestFit="1" customWidth="1"/>
    <col min="2058" max="2058" width="10.28515625" style="119" bestFit="1" customWidth="1"/>
    <col min="2059" max="2303" width="9.140625" style="119"/>
    <col min="2304" max="2304" width="38.140625" style="119" customWidth="1"/>
    <col min="2305" max="2306" width="9.5703125" style="119" bestFit="1" customWidth="1"/>
    <col min="2307" max="2307" width="9.28515625" style="119" bestFit="1" customWidth="1"/>
    <col min="2308" max="2313" width="9.5703125" style="119" bestFit="1" customWidth="1"/>
    <col min="2314" max="2314" width="10.28515625" style="119" bestFit="1" customWidth="1"/>
    <col min="2315" max="2559" width="9.140625" style="119"/>
    <col min="2560" max="2560" width="38.140625" style="119" customWidth="1"/>
    <col min="2561" max="2562" width="9.5703125" style="119" bestFit="1" customWidth="1"/>
    <col min="2563" max="2563" width="9.28515625" style="119" bestFit="1" customWidth="1"/>
    <col min="2564" max="2569" width="9.5703125" style="119" bestFit="1" customWidth="1"/>
    <col min="2570" max="2570" width="10.28515625" style="119" bestFit="1" customWidth="1"/>
    <col min="2571" max="2815" width="9.140625" style="119"/>
    <col min="2816" max="2816" width="38.140625" style="119" customWidth="1"/>
    <col min="2817" max="2818" width="9.5703125" style="119" bestFit="1" customWidth="1"/>
    <col min="2819" max="2819" width="9.28515625" style="119" bestFit="1" customWidth="1"/>
    <col min="2820" max="2825" width="9.5703125" style="119" bestFit="1" customWidth="1"/>
    <col min="2826" max="2826" width="10.28515625" style="119" bestFit="1" customWidth="1"/>
    <col min="2827" max="3071" width="9.140625" style="119"/>
    <col min="3072" max="3072" width="38.140625" style="119" customWidth="1"/>
    <col min="3073" max="3074" width="9.5703125" style="119" bestFit="1" customWidth="1"/>
    <col min="3075" max="3075" width="9.28515625" style="119" bestFit="1" customWidth="1"/>
    <col min="3076" max="3081" width="9.5703125" style="119" bestFit="1" customWidth="1"/>
    <col min="3082" max="3082" width="10.28515625" style="119" bestFit="1" customWidth="1"/>
    <col min="3083" max="3327" width="9.140625" style="119"/>
    <col min="3328" max="3328" width="38.140625" style="119" customWidth="1"/>
    <col min="3329" max="3330" width="9.5703125" style="119" bestFit="1" customWidth="1"/>
    <col min="3331" max="3331" width="9.28515625" style="119" bestFit="1" customWidth="1"/>
    <col min="3332" max="3337" width="9.5703125" style="119" bestFit="1" customWidth="1"/>
    <col min="3338" max="3338" width="10.28515625" style="119" bestFit="1" customWidth="1"/>
    <col min="3339" max="3583" width="9.140625" style="119"/>
    <col min="3584" max="3584" width="38.140625" style="119" customWidth="1"/>
    <col min="3585" max="3586" width="9.5703125" style="119" bestFit="1" customWidth="1"/>
    <col min="3587" max="3587" width="9.28515625" style="119" bestFit="1" customWidth="1"/>
    <col min="3588" max="3593" width="9.5703125" style="119" bestFit="1" customWidth="1"/>
    <col min="3594" max="3594" width="10.28515625" style="119" bestFit="1" customWidth="1"/>
    <col min="3595" max="3839" width="9.140625" style="119"/>
    <col min="3840" max="3840" width="38.140625" style="119" customWidth="1"/>
    <col min="3841" max="3842" width="9.5703125" style="119" bestFit="1" customWidth="1"/>
    <col min="3843" max="3843" width="9.28515625" style="119" bestFit="1" customWidth="1"/>
    <col min="3844" max="3849" width="9.5703125" style="119" bestFit="1" customWidth="1"/>
    <col min="3850" max="3850" width="10.28515625" style="119" bestFit="1" customWidth="1"/>
    <col min="3851" max="4095" width="9.140625" style="119"/>
    <col min="4096" max="4096" width="38.140625" style="119" customWidth="1"/>
    <col min="4097" max="4098" width="9.5703125" style="119" bestFit="1" customWidth="1"/>
    <col min="4099" max="4099" width="9.28515625" style="119" bestFit="1" customWidth="1"/>
    <col min="4100" max="4105" width="9.5703125" style="119" bestFit="1" customWidth="1"/>
    <col min="4106" max="4106" width="10.28515625" style="119" bestFit="1" customWidth="1"/>
    <col min="4107" max="4351" width="9.140625" style="119"/>
    <col min="4352" max="4352" width="38.140625" style="119" customWidth="1"/>
    <col min="4353" max="4354" width="9.5703125" style="119" bestFit="1" customWidth="1"/>
    <col min="4355" max="4355" width="9.28515625" style="119" bestFit="1" customWidth="1"/>
    <col min="4356" max="4361" width="9.5703125" style="119" bestFit="1" customWidth="1"/>
    <col min="4362" max="4362" width="10.28515625" style="119" bestFit="1" customWidth="1"/>
    <col min="4363" max="4607" width="9.140625" style="119"/>
    <col min="4608" max="4608" width="38.140625" style="119" customWidth="1"/>
    <col min="4609" max="4610" width="9.5703125" style="119" bestFit="1" customWidth="1"/>
    <col min="4611" max="4611" width="9.28515625" style="119" bestFit="1" customWidth="1"/>
    <col min="4612" max="4617" width="9.5703125" style="119" bestFit="1" customWidth="1"/>
    <col min="4618" max="4618" width="10.28515625" style="119" bestFit="1" customWidth="1"/>
    <col min="4619" max="4863" width="9.140625" style="119"/>
    <col min="4864" max="4864" width="38.140625" style="119" customWidth="1"/>
    <col min="4865" max="4866" width="9.5703125" style="119" bestFit="1" customWidth="1"/>
    <col min="4867" max="4867" width="9.28515625" style="119" bestFit="1" customWidth="1"/>
    <col min="4868" max="4873" width="9.5703125" style="119" bestFit="1" customWidth="1"/>
    <col min="4874" max="4874" width="10.28515625" style="119" bestFit="1" customWidth="1"/>
    <col min="4875" max="5119" width="9.140625" style="119"/>
    <col min="5120" max="5120" width="38.140625" style="119" customWidth="1"/>
    <col min="5121" max="5122" width="9.5703125" style="119" bestFit="1" customWidth="1"/>
    <col min="5123" max="5123" width="9.28515625" style="119" bestFit="1" customWidth="1"/>
    <col min="5124" max="5129" width="9.5703125" style="119" bestFit="1" customWidth="1"/>
    <col min="5130" max="5130" width="10.28515625" style="119" bestFit="1" customWidth="1"/>
    <col min="5131" max="5375" width="9.140625" style="119"/>
    <col min="5376" max="5376" width="38.140625" style="119" customWidth="1"/>
    <col min="5377" max="5378" width="9.5703125" style="119" bestFit="1" customWidth="1"/>
    <col min="5379" max="5379" width="9.28515625" style="119" bestFit="1" customWidth="1"/>
    <col min="5380" max="5385" width="9.5703125" style="119" bestFit="1" customWidth="1"/>
    <col min="5386" max="5386" width="10.28515625" style="119" bestFit="1" customWidth="1"/>
    <col min="5387" max="5631" width="9.140625" style="119"/>
    <col min="5632" max="5632" width="38.140625" style="119" customWidth="1"/>
    <col min="5633" max="5634" width="9.5703125" style="119" bestFit="1" customWidth="1"/>
    <col min="5635" max="5635" width="9.28515625" style="119" bestFit="1" customWidth="1"/>
    <col min="5636" max="5641" width="9.5703125" style="119" bestFit="1" customWidth="1"/>
    <col min="5642" max="5642" width="10.28515625" style="119" bestFit="1" customWidth="1"/>
    <col min="5643" max="5887" width="9.140625" style="119"/>
    <col min="5888" max="5888" width="38.140625" style="119" customWidth="1"/>
    <col min="5889" max="5890" width="9.5703125" style="119" bestFit="1" customWidth="1"/>
    <col min="5891" max="5891" width="9.28515625" style="119" bestFit="1" customWidth="1"/>
    <col min="5892" max="5897" width="9.5703125" style="119" bestFit="1" customWidth="1"/>
    <col min="5898" max="5898" width="10.28515625" style="119" bestFit="1" customWidth="1"/>
    <col min="5899" max="6143" width="9.140625" style="119"/>
    <col min="6144" max="6144" width="38.140625" style="119" customWidth="1"/>
    <col min="6145" max="6146" width="9.5703125" style="119" bestFit="1" customWidth="1"/>
    <col min="6147" max="6147" width="9.28515625" style="119" bestFit="1" customWidth="1"/>
    <col min="6148" max="6153" width="9.5703125" style="119" bestFit="1" customWidth="1"/>
    <col min="6154" max="6154" width="10.28515625" style="119" bestFit="1" customWidth="1"/>
    <col min="6155" max="6399" width="9.140625" style="119"/>
    <col min="6400" max="6400" width="38.140625" style="119" customWidth="1"/>
    <col min="6401" max="6402" width="9.5703125" style="119" bestFit="1" customWidth="1"/>
    <col min="6403" max="6403" width="9.28515625" style="119" bestFit="1" customWidth="1"/>
    <col min="6404" max="6409" width="9.5703125" style="119" bestFit="1" customWidth="1"/>
    <col min="6410" max="6410" width="10.28515625" style="119" bestFit="1" customWidth="1"/>
    <col min="6411" max="6655" width="9.140625" style="119"/>
    <col min="6656" max="6656" width="38.140625" style="119" customWidth="1"/>
    <col min="6657" max="6658" width="9.5703125" style="119" bestFit="1" customWidth="1"/>
    <col min="6659" max="6659" width="9.28515625" style="119" bestFit="1" customWidth="1"/>
    <col min="6660" max="6665" width="9.5703125" style="119" bestFit="1" customWidth="1"/>
    <col min="6666" max="6666" width="10.28515625" style="119" bestFit="1" customWidth="1"/>
    <col min="6667" max="6911" width="9.140625" style="119"/>
    <col min="6912" max="6912" width="38.140625" style="119" customWidth="1"/>
    <col min="6913" max="6914" width="9.5703125" style="119" bestFit="1" customWidth="1"/>
    <col min="6915" max="6915" width="9.28515625" style="119" bestFit="1" customWidth="1"/>
    <col min="6916" max="6921" width="9.5703125" style="119" bestFit="1" customWidth="1"/>
    <col min="6922" max="6922" width="10.28515625" style="119" bestFit="1" customWidth="1"/>
    <col min="6923" max="7167" width="9.140625" style="119"/>
    <col min="7168" max="7168" width="38.140625" style="119" customWidth="1"/>
    <col min="7169" max="7170" width="9.5703125" style="119" bestFit="1" customWidth="1"/>
    <col min="7171" max="7171" width="9.28515625" style="119" bestFit="1" customWidth="1"/>
    <col min="7172" max="7177" width="9.5703125" style="119" bestFit="1" customWidth="1"/>
    <col min="7178" max="7178" width="10.28515625" style="119" bestFit="1" customWidth="1"/>
    <col min="7179" max="7423" width="9.140625" style="119"/>
    <col min="7424" max="7424" width="38.140625" style="119" customWidth="1"/>
    <col min="7425" max="7426" width="9.5703125" style="119" bestFit="1" customWidth="1"/>
    <col min="7427" max="7427" width="9.28515625" style="119" bestFit="1" customWidth="1"/>
    <col min="7428" max="7433" width="9.5703125" style="119" bestFit="1" customWidth="1"/>
    <col min="7434" max="7434" width="10.28515625" style="119" bestFit="1" customWidth="1"/>
    <col min="7435" max="7679" width="9.140625" style="119"/>
    <col min="7680" max="7680" width="38.140625" style="119" customWidth="1"/>
    <col min="7681" max="7682" width="9.5703125" style="119" bestFit="1" customWidth="1"/>
    <col min="7683" max="7683" width="9.28515625" style="119" bestFit="1" customWidth="1"/>
    <col min="7684" max="7689" width="9.5703125" style="119" bestFit="1" customWidth="1"/>
    <col min="7690" max="7690" width="10.28515625" style="119" bestFit="1" customWidth="1"/>
    <col min="7691" max="7935" width="9.140625" style="119"/>
    <col min="7936" max="7936" width="38.140625" style="119" customWidth="1"/>
    <col min="7937" max="7938" width="9.5703125" style="119" bestFit="1" customWidth="1"/>
    <col min="7939" max="7939" width="9.28515625" style="119" bestFit="1" customWidth="1"/>
    <col min="7940" max="7945" width="9.5703125" style="119" bestFit="1" customWidth="1"/>
    <col min="7946" max="7946" width="10.28515625" style="119" bestFit="1" customWidth="1"/>
    <col min="7947" max="8191" width="9.140625" style="119"/>
    <col min="8192" max="8192" width="38.140625" style="119" customWidth="1"/>
    <col min="8193" max="8194" width="9.5703125" style="119" bestFit="1" customWidth="1"/>
    <col min="8195" max="8195" width="9.28515625" style="119" bestFit="1" customWidth="1"/>
    <col min="8196" max="8201" width="9.5703125" style="119" bestFit="1" customWidth="1"/>
    <col min="8202" max="8202" width="10.28515625" style="119" bestFit="1" customWidth="1"/>
    <col min="8203" max="8447" width="9.140625" style="119"/>
    <col min="8448" max="8448" width="38.140625" style="119" customWidth="1"/>
    <col min="8449" max="8450" width="9.5703125" style="119" bestFit="1" customWidth="1"/>
    <col min="8451" max="8451" width="9.28515625" style="119" bestFit="1" customWidth="1"/>
    <col min="8452" max="8457" width="9.5703125" style="119" bestFit="1" customWidth="1"/>
    <col min="8458" max="8458" width="10.28515625" style="119" bestFit="1" customWidth="1"/>
    <col min="8459" max="8703" width="9.140625" style="119"/>
    <col min="8704" max="8704" width="38.140625" style="119" customWidth="1"/>
    <col min="8705" max="8706" width="9.5703125" style="119" bestFit="1" customWidth="1"/>
    <col min="8707" max="8707" width="9.28515625" style="119" bestFit="1" customWidth="1"/>
    <col min="8708" max="8713" width="9.5703125" style="119" bestFit="1" customWidth="1"/>
    <col min="8714" max="8714" width="10.28515625" style="119" bestFit="1" customWidth="1"/>
    <col min="8715" max="8959" width="9.140625" style="119"/>
    <col min="8960" max="8960" width="38.140625" style="119" customWidth="1"/>
    <col min="8961" max="8962" width="9.5703125" style="119" bestFit="1" customWidth="1"/>
    <col min="8963" max="8963" width="9.28515625" style="119" bestFit="1" customWidth="1"/>
    <col min="8964" max="8969" width="9.5703125" style="119" bestFit="1" customWidth="1"/>
    <col min="8970" max="8970" width="10.28515625" style="119" bestFit="1" customWidth="1"/>
    <col min="8971" max="9215" width="9.140625" style="119"/>
    <col min="9216" max="9216" width="38.140625" style="119" customWidth="1"/>
    <col min="9217" max="9218" width="9.5703125" style="119" bestFit="1" customWidth="1"/>
    <col min="9219" max="9219" width="9.28515625" style="119" bestFit="1" customWidth="1"/>
    <col min="9220" max="9225" width="9.5703125" style="119" bestFit="1" customWidth="1"/>
    <col min="9226" max="9226" width="10.28515625" style="119" bestFit="1" customWidth="1"/>
    <col min="9227" max="9471" width="9.140625" style="119"/>
    <col min="9472" max="9472" width="38.140625" style="119" customWidth="1"/>
    <col min="9473" max="9474" width="9.5703125" style="119" bestFit="1" customWidth="1"/>
    <col min="9475" max="9475" width="9.28515625" style="119" bestFit="1" customWidth="1"/>
    <col min="9476" max="9481" width="9.5703125" style="119" bestFit="1" customWidth="1"/>
    <col min="9482" max="9482" width="10.28515625" style="119" bestFit="1" customWidth="1"/>
    <col min="9483" max="9727" width="9.140625" style="119"/>
    <col min="9728" max="9728" width="38.140625" style="119" customWidth="1"/>
    <col min="9729" max="9730" width="9.5703125" style="119" bestFit="1" customWidth="1"/>
    <col min="9731" max="9731" width="9.28515625" style="119" bestFit="1" customWidth="1"/>
    <col min="9732" max="9737" width="9.5703125" style="119" bestFit="1" customWidth="1"/>
    <col min="9738" max="9738" width="10.28515625" style="119" bestFit="1" customWidth="1"/>
    <col min="9739" max="9983" width="9.140625" style="119"/>
    <col min="9984" max="9984" width="38.140625" style="119" customWidth="1"/>
    <col min="9985" max="9986" width="9.5703125" style="119" bestFit="1" customWidth="1"/>
    <col min="9987" max="9987" width="9.28515625" style="119" bestFit="1" customWidth="1"/>
    <col min="9988" max="9993" width="9.5703125" style="119" bestFit="1" customWidth="1"/>
    <col min="9994" max="9994" width="10.28515625" style="119" bestFit="1" customWidth="1"/>
    <col min="9995" max="10239" width="9.140625" style="119"/>
    <col min="10240" max="10240" width="38.140625" style="119" customWidth="1"/>
    <col min="10241" max="10242" width="9.5703125" style="119" bestFit="1" customWidth="1"/>
    <col min="10243" max="10243" width="9.28515625" style="119" bestFit="1" customWidth="1"/>
    <col min="10244" max="10249" width="9.5703125" style="119" bestFit="1" customWidth="1"/>
    <col min="10250" max="10250" width="10.28515625" style="119" bestFit="1" customWidth="1"/>
    <col min="10251" max="10495" width="9.140625" style="119"/>
    <col min="10496" max="10496" width="38.140625" style="119" customWidth="1"/>
    <col min="10497" max="10498" width="9.5703125" style="119" bestFit="1" customWidth="1"/>
    <col min="10499" max="10499" width="9.28515625" style="119" bestFit="1" customWidth="1"/>
    <col min="10500" max="10505" width="9.5703125" style="119" bestFit="1" customWidth="1"/>
    <col min="10506" max="10506" width="10.28515625" style="119" bestFit="1" customWidth="1"/>
    <col min="10507" max="10751" width="9.140625" style="119"/>
    <col min="10752" max="10752" width="38.140625" style="119" customWidth="1"/>
    <col min="10753" max="10754" width="9.5703125" style="119" bestFit="1" customWidth="1"/>
    <col min="10755" max="10755" width="9.28515625" style="119" bestFit="1" customWidth="1"/>
    <col min="10756" max="10761" width="9.5703125" style="119" bestFit="1" customWidth="1"/>
    <col min="10762" max="10762" width="10.28515625" style="119" bestFit="1" customWidth="1"/>
    <col min="10763" max="11007" width="9.140625" style="119"/>
    <col min="11008" max="11008" width="38.140625" style="119" customWidth="1"/>
    <col min="11009" max="11010" width="9.5703125" style="119" bestFit="1" customWidth="1"/>
    <col min="11011" max="11011" width="9.28515625" style="119" bestFit="1" customWidth="1"/>
    <col min="11012" max="11017" width="9.5703125" style="119" bestFit="1" customWidth="1"/>
    <col min="11018" max="11018" width="10.28515625" style="119" bestFit="1" customWidth="1"/>
    <col min="11019" max="11263" width="9.140625" style="119"/>
    <col min="11264" max="11264" width="38.140625" style="119" customWidth="1"/>
    <col min="11265" max="11266" width="9.5703125" style="119" bestFit="1" customWidth="1"/>
    <col min="11267" max="11267" width="9.28515625" style="119" bestFit="1" customWidth="1"/>
    <col min="11268" max="11273" width="9.5703125" style="119" bestFit="1" customWidth="1"/>
    <col min="11274" max="11274" width="10.28515625" style="119" bestFit="1" customWidth="1"/>
    <col min="11275" max="11519" width="9.140625" style="119"/>
    <col min="11520" max="11520" width="38.140625" style="119" customWidth="1"/>
    <col min="11521" max="11522" width="9.5703125" style="119" bestFit="1" customWidth="1"/>
    <col min="11523" max="11523" width="9.28515625" style="119" bestFit="1" customWidth="1"/>
    <col min="11524" max="11529" width="9.5703125" style="119" bestFit="1" customWidth="1"/>
    <col min="11530" max="11530" width="10.28515625" style="119" bestFit="1" customWidth="1"/>
    <col min="11531" max="11775" width="9.140625" style="119"/>
    <col min="11776" max="11776" width="38.140625" style="119" customWidth="1"/>
    <col min="11777" max="11778" width="9.5703125" style="119" bestFit="1" customWidth="1"/>
    <col min="11779" max="11779" width="9.28515625" style="119" bestFit="1" customWidth="1"/>
    <col min="11780" max="11785" width="9.5703125" style="119" bestFit="1" customWidth="1"/>
    <col min="11786" max="11786" width="10.28515625" style="119" bestFit="1" customWidth="1"/>
    <col min="11787" max="12031" width="9.140625" style="119"/>
    <col min="12032" max="12032" width="38.140625" style="119" customWidth="1"/>
    <col min="12033" max="12034" width="9.5703125" style="119" bestFit="1" customWidth="1"/>
    <col min="12035" max="12035" width="9.28515625" style="119" bestFit="1" customWidth="1"/>
    <col min="12036" max="12041" width="9.5703125" style="119" bestFit="1" customWidth="1"/>
    <col min="12042" max="12042" width="10.28515625" style="119" bestFit="1" customWidth="1"/>
    <col min="12043" max="12287" width="9.140625" style="119"/>
    <col min="12288" max="12288" width="38.140625" style="119" customWidth="1"/>
    <col min="12289" max="12290" width="9.5703125" style="119" bestFit="1" customWidth="1"/>
    <col min="12291" max="12291" width="9.28515625" style="119" bestFit="1" customWidth="1"/>
    <col min="12292" max="12297" width="9.5703125" style="119" bestFit="1" customWidth="1"/>
    <col min="12298" max="12298" width="10.28515625" style="119" bestFit="1" customWidth="1"/>
    <col min="12299" max="12543" width="9.140625" style="119"/>
    <col min="12544" max="12544" width="38.140625" style="119" customWidth="1"/>
    <col min="12545" max="12546" width="9.5703125" style="119" bestFit="1" customWidth="1"/>
    <col min="12547" max="12547" width="9.28515625" style="119" bestFit="1" customWidth="1"/>
    <col min="12548" max="12553" width="9.5703125" style="119" bestFit="1" customWidth="1"/>
    <col min="12554" max="12554" width="10.28515625" style="119" bestFit="1" customWidth="1"/>
    <col min="12555" max="12799" width="9.140625" style="119"/>
    <col min="12800" max="12800" width="38.140625" style="119" customWidth="1"/>
    <col min="12801" max="12802" width="9.5703125" style="119" bestFit="1" customWidth="1"/>
    <col min="12803" max="12803" width="9.28515625" style="119" bestFit="1" customWidth="1"/>
    <col min="12804" max="12809" width="9.5703125" style="119" bestFit="1" customWidth="1"/>
    <col min="12810" max="12810" width="10.28515625" style="119" bestFit="1" customWidth="1"/>
    <col min="12811" max="13055" width="9.140625" style="119"/>
    <col min="13056" max="13056" width="38.140625" style="119" customWidth="1"/>
    <col min="13057" max="13058" width="9.5703125" style="119" bestFit="1" customWidth="1"/>
    <col min="13059" max="13059" width="9.28515625" style="119" bestFit="1" customWidth="1"/>
    <col min="13060" max="13065" width="9.5703125" style="119" bestFit="1" customWidth="1"/>
    <col min="13066" max="13066" width="10.28515625" style="119" bestFit="1" customWidth="1"/>
    <col min="13067" max="13311" width="9.140625" style="119"/>
    <col min="13312" max="13312" width="38.140625" style="119" customWidth="1"/>
    <col min="13313" max="13314" width="9.5703125" style="119" bestFit="1" customWidth="1"/>
    <col min="13315" max="13315" width="9.28515625" style="119" bestFit="1" customWidth="1"/>
    <col min="13316" max="13321" width="9.5703125" style="119" bestFit="1" customWidth="1"/>
    <col min="13322" max="13322" width="10.28515625" style="119" bestFit="1" customWidth="1"/>
    <col min="13323" max="13567" width="9.140625" style="119"/>
    <col min="13568" max="13568" width="38.140625" style="119" customWidth="1"/>
    <col min="13569" max="13570" width="9.5703125" style="119" bestFit="1" customWidth="1"/>
    <col min="13571" max="13571" width="9.28515625" style="119" bestFit="1" customWidth="1"/>
    <col min="13572" max="13577" width="9.5703125" style="119" bestFit="1" customWidth="1"/>
    <col min="13578" max="13578" width="10.28515625" style="119" bestFit="1" customWidth="1"/>
    <col min="13579" max="13823" width="9.140625" style="119"/>
    <col min="13824" max="13824" width="38.140625" style="119" customWidth="1"/>
    <col min="13825" max="13826" width="9.5703125" style="119" bestFit="1" customWidth="1"/>
    <col min="13827" max="13827" width="9.28515625" style="119" bestFit="1" customWidth="1"/>
    <col min="13828" max="13833" width="9.5703125" style="119" bestFit="1" customWidth="1"/>
    <col min="13834" max="13834" width="10.28515625" style="119" bestFit="1" customWidth="1"/>
    <col min="13835" max="14079" width="9.140625" style="119"/>
    <col min="14080" max="14080" width="38.140625" style="119" customWidth="1"/>
    <col min="14081" max="14082" width="9.5703125" style="119" bestFit="1" customWidth="1"/>
    <col min="14083" max="14083" width="9.28515625" style="119" bestFit="1" customWidth="1"/>
    <col min="14084" max="14089" width="9.5703125" style="119" bestFit="1" customWidth="1"/>
    <col min="14090" max="14090" width="10.28515625" style="119" bestFit="1" customWidth="1"/>
    <col min="14091" max="14335" width="9.140625" style="119"/>
    <col min="14336" max="14336" width="38.140625" style="119" customWidth="1"/>
    <col min="14337" max="14338" width="9.5703125" style="119" bestFit="1" customWidth="1"/>
    <col min="14339" max="14339" width="9.28515625" style="119" bestFit="1" customWidth="1"/>
    <col min="14340" max="14345" width="9.5703125" style="119" bestFit="1" customWidth="1"/>
    <col min="14346" max="14346" width="10.28515625" style="119" bestFit="1" customWidth="1"/>
    <col min="14347" max="14591" width="9.140625" style="119"/>
    <col min="14592" max="14592" width="38.140625" style="119" customWidth="1"/>
    <col min="14593" max="14594" width="9.5703125" style="119" bestFit="1" customWidth="1"/>
    <col min="14595" max="14595" width="9.28515625" style="119" bestFit="1" customWidth="1"/>
    <col min="14596" max="14601" width="9.5703125" style="119" bestFit="1" customWidth="1"/>
    <col min="14602" max="14602" width="10.28515625" style="119" bestFit="1" customWidth="1"/>
    <col min="14603" max="14847" width="9.140625" style="119"/>
    <col min="14848" max="14848" width="38.140625" style="119" customWidth="1"/>
    <col min="14849" max="14850" width="9.5703125" style="119" bestFit="1" customWidth="1"/>
    <col min="14851" max="14851" width="9.28515625" style="119" bestFit="1" customWidth="1"/>
    <col min="14852" max="14857" width="9.5703125" style="119" bestFit="1" customWidth="1"/>
    <col min="14858" max="14858" width="10.28515625" style="119" bestFit="1" customWidth="1"/>
    <col min="14859" max="15103" width="9.140625" style="119"/>
    <col min="15104" max="15104" width="38.140625" style="119" customWidth="1"/>
    <col min="15105" max="15106" width="9.5703125" style="119" bestFit="1" customWidth="1"/>
    <col min="15107" max="15107" width="9.28515625" style="119" bestFit="1" customWidth="1"/>
    <col min="15108" max="15113" width="9.5703125" style="119" bestFit="1" customWidth="1"/>
    <col min="15114" max="15114" width="10.28515625" style="119" bestFit="1" customWidth="1"/>
    <col min="15115" max="15359" width="9.140625" style="119"/>
    <col min="15360" max="15360" width="38.140625" style="119" customWidth="1"/>
    <col min="15361" max="15362" width="9.5703125" style="119" bestFit="1" customWidth="1"/>
    <col min="15363" max="15363" width="9.28515625" style="119" bestFit="1" customWidth="1"/>
    <col min="15364" max="15369" width="9.5703125" style="119" bestFit="1" customWidth="1"/>
    <col min="15370" max="15370" width="10.28515625" style="119" bestFit="1" customWidth="1"/>
    <col min="15371" max="15615" width="9.140625" style="119"/>
    <col min="15616" max="15616" width="38.140625" style="119" customWidth="1"/>
    <col min="15617" max="15618" width="9.5703125" style="119" bestFit="1" customWidth="1"/>
    <col min="15619" max="15619" width="9.28515625" style="119" bestFit="1" customWidth="1"/>
    <col min="15620" max="15625" width="9.5703125" style="119" bestFit="1" customWidth="1"/>
    <col min="15626" max="15626" width="10.28515625" style="119" bestFit="1" customWidth="1"/>
    <col min="15627" max="15871" width="9.140625" style="119"/>
    <col min="15872" max="15872" width="38.140625" style="119" customWidth="1"/>
    <col min="15873" max="15874" width="9.5703125" style="119" bestFit="1" customWidth="1"/>
    <col min="15875" max="15875" width="9.28515625" style="119" bestFit="1" customWidth="1"/>
    <col min="15876" max="15881" width="9.5703125" style="119" bestFit="1" customWidth="1"/>
    <col min="15882" max="15882" width="10.28515625" style="119" bestFit="1" customWidth="1"/>
    <col min="15883" max="16127" width="9.140625" style="119"/>
    <col min="16128" max="16128" width="38.140625" style="119" customWidth="1"/>
    <col min="16129" max="16130" width="9.5703125" style="119" bestFit="1" customWidth="1"/>
    <col min="16131" max="16131" width="9.28515625" style="119" bestFit="1" customWidth="1"/>
    <col min="16132" max="16137" width="9.5703125" style="119" bestFit="1" customWidth="1"/>
    <col min="16138" max="16138" width="10.28515625" style="119" bestFit="1" customWidth="1"/>
    <col min="16139" max="16384" width="9.140625" style="119"/>
  </cols>
  <sheetData>
    <row r="1" spans="1:12" ht="17.100000000000001" customHeight="1">
      <c r="A1" s="1107" t="s">
        <v>281</v>
      </c>
      <c r="B1" s="1108"/>
      <c r="C1" s="1108"/>
      <c r="D1" s="1108"/>
      <c r="E1" s="1108"/>
      <c r="F1" s="1108"/>
      <c r="G1" s="1108"/>
      <c r="H1" s="1108"/>
      <c r="I1" s="1108"/>
      <c r="J1" s="1109"/>
    </row>
    <row r="2" spans="1:12" ht="17.100000000000001" customHeight="1">
      <c r="A2" s="1133" t="s">
        <v>282</v>
      </c>
      <c r="B2" s="1134"/>
      <c r="C2" s="1134"/>
      <c r="D2" s="1134"/>
      <c r="E2" s="1134"/>
      <c r="F2" s="1134"/>
      <c r="G2" s="1134"/>
      <c r="H2" s="1134"/>
      <c r="I2" s="1134"/>
      <c r="J2" s="1135"/>
    </row>
    <row r="3" spans="1:12" ht="17.100000000000001" customHeight="1">
      <c r="A3" s="850" t="s">
        <v>283</v>
      </c>
      <c r="B3" s="134" t="s">
        <v>261</v>
      </c>
      <c r="C3" s="134" t="s">
        <v>262</v>
      </c>
      <c r="D3" s="134" t="s">
        <v>263</v>
      </c>
      <c r="E3" s="134" t="s">
        <v>264</v>
      </c>
      <c r="F3" s="134" t="s">
        <v>265</v>
      </c>
      <c r="G3" s="134" t="s">
        <v>266</v>
      </c>
      <c r="H3" s="134" t="s">
        <v>267</v>
      </c>
      <c r="I3" s="134" t="s">
        <v>268</v>
      </c>
      <c r="J3" s="508" t="s">
        <v>269</v>
      </c>
      <c r="K3" s="135"/>
    </row>
    <row r="4" spans="1:12" ht="17.100000000000001" customHeight="1">
      <c r="A4" s="1130"/>
      <c r="B4" s="1131"/>
      <c r="C4" s="1131"/>
      <c r="D4" s="1131"/>
      <c r="E4" s="1131"/>
      <c r="F4" s="1131"/>
      <c r="G4" s="1131"/>
      <c r="H4" s="1131"/>
      <c r="I4" s="1131"/>
      <c r="J4" s="1132"/>
    </row>
    <row r="5" spans="1:12" ht="17.100000000000001" customHeight="1">
      <c r="A5" s="851" t="s">
        <v>284</v>
      </c>
      <c r="B5" s="848">
        <f>Profitability!B17</f>
        <v>361.56450077155444</v>
      </c>
      <c r="C5" s="848">
        <f>Profitability!C17</f>
        <v>680.14544517577338</v>
      </c>
      <c r="D5" s="848">
        <f>Profitability!D17</f>
        <v>884.8967669354372</v>
      </c>
      <c r="E5" s="848">
        <f>Profitability!E17</f>
        <v>955.11135979153767</v>
      </c>
      <c r="F5" s="848">
        <f>Profitability!F17</f>
        <v>1031.2603190930279</v>
      </c>
      <c r="G5" s="848">
        <f>Profitability!G17</f>
        <v>1111.0260282399045</v>
      </c>
      <c r="H5" s="848">
        <f>Profitability!H17</f>
        <v>1195.715120528534</v>
      </c>
      <c r="I5" s="848">
        <f>Profitability!I17</f>
        <v>1285.0570037980272</v>
      </c>
      <c r="J5" s="852">
        <f>Profitability!J17</f>
        <v>1378.3094728792605</v>
      </c>
    </row>
    <row r="6" spans="1:12" ht="17.100000000000001" customHeight="1">
      <c r="A6" s="851" t="s">
        <v>285</v>
      </c>
      <c r="B6" s="848">
        <f>'Interest Calculation'!B25</f>
        <v>311.95873258559999</v>
      </c>
      <c r="C6" s="848">
        <f>'Interest Calculation'!C25</f>
        <v>301.56010816608</v>
      </c>
      <c r="D6" s="848">
        <f>'Interest Calculation'!D25</f>
        <v>259.96561048799998</v>
      </c>
      <c r="E6" s="848">
        <f>'Interest Calculation'!E25</f>
        <v>218.37111280991996</v>
      </c>
      <c r="F6" s="848">
        <f>'Interest Calculation'!F25</f>
        <v>176.77661513183995</v>
      </c>
      <c r="G6" s="848">
        <f>'Interest Calculation'!G25</f>
        <v>84.790370936639974</v>
      </c>
      <c r="H6" s="848">
        <f>'Interest Calculation'!H25</f>
        <v>63.993122097599965</v>
      </c>
      <c r="I6" s="848">
        <f>'Interest Calculation'!I25</f>
        <v>43.195873258559956</v>
      </c>
      <c r="J6" s="852">
        <f>'Interest Calculation'!J25</f>
        <v>22.398624419519962</v>
      </c>
    </row>
    <row r="7" spans="1:12" ht="17.100000000000001" customHeight="1">
      <c r="A7" s="1130"/>
      <c r="B7" s="1131"/>
      <c r="C7" s="1131"/>
      <c r="D7" s="1131"/>
      <c r="E7" s="1131"/>
      <c r="F7" s="1131"/>
      <c r="G7" s="1131"/>
      <c r="H7" s="1131"/>
      <c r="I7" s="1131"/>
      <c r="J7" s="1132"/>
    </row>
    <row r="8" spans="1:12" s="120" customFormat="1" ht="17.100000000000001" customHeight="1">
      <c r="A8" s="505" t="s">
        <v>370</v>
      </c>
      <c r="B8" s="849">
        <f t="shared" ref="B8:J8" si="0">SUM(B5:B6)</f>
        <v>673.52323335715437</v>
      </c>
      <c r="C8" s="849">
        <f t="shared" si="0"/>
        <v>981.70555334185337</v>
      </c>
      <c r="D8" s="849">
        <f t="shared" si="0"/>
        <v>1144.8623774234372</v>
      </c>
      <c r="E8" s="849">
        <f t="shared" si="0"/>
        <v>1173.4824726014576</v>
      </c>
      <c r="F8" s="849">
        <f t="shared" si="0"/>
        <v>1208.0369342248678</v>
      </c>
      <c r="G8" s="849">
        <f t="shared" si="0"/>
        <v>1195.8163991765443</v>
      </c>
      <c r="H8" s="849">
        <f t="shared" si="0"/>
        <v>1259.7082426261341</v>
      </c>
      <c r="I8" s="849">
        <f t="shared" si="0"/>
        <v>1328.2528770565871</v>
      </c>
      <c r="J8" s="853">
        <f t="shared" si="0"/>
        <v>1400.7080972987806</v>
      </c>
      <c r="L8" s="136"/>
    </row>
    <row r="9" spans="1:12" ht="17.100000000000001" customHeight="1">
      <c r="A9" s="1130"/>
      <c r="B9" s="1131"/>
      <c r="C9" s="1131"/>
      <c r="D9" s="1131"/>
      <c r="E9" s="1131"/>
      <c r="F9" s="1131"/>
      <c r="G9" s="1131"/>
      <c r="H9" s="1131"/>
      <c r="I9" s="1131"/>
      <c r="J9" s="1132"/>
    </row>
    <row r="10" spans="1:12" ht="17.100000000000001" customHeight="1">
      <c r="A10" s="851" t="s">
        <v>371</v>
      </c>
      <c r="B10" s="848">
        <f t="shared" ref="B10:J10" si="1">+B6</f>
        <v>311.95873258559999</v>
      </c>
      <c r="C10" s="848">
        <f t="shared" si="1"/>
        <v>301.56010816608</v>
      </c>
      <c r="D10" s="848">
        <f t="shared" si="1"/>
        <v>259.96561048799998</v>
      </c>
      <c r="E10" s="848">
        <f t="shared" si="1"/>
        <v>218.37111280991996</v>
      </c>
      <c r="F10" s="848">
        <f t="shared" si="1"/>
        <v>176.77661513183995</v>
      </c>
      <c r="G10" s="848">
        <f t="shared" si="1"/>
        <v>84.790370936639974</v>
      </c>
      <c r="H10" s="848">
        <f t="shared" si="1"/>
        <v>63.993122097599965</v>
      </c>
      <c r="I10" s="848">
        <f t="shared" si="1"/>
        <v>43.195873258559956</v>
      </c>
      <c r="J10" s="852">
        <f t="shared" si="1"/>
        <v>22.398624419519962</v>
      </c>
    </row>
    <row r="11" spans="1:12" ht="17.100000000000001" customHeight="1">
      <c r="A11" s="851" t="s">
        <v>372</v>
      </c>
      <c r="B11" s="848">
        <f>'Interest Calculation'!B9</f>
        <v>0</v>
      </c>
      <c r="C11" s="848">
        <f>'Interest Calculation'!C22</f>
        <v>415.94497678079995</v>
      </c>
      <c r="D11" s="848">
        <f>'Interest Calculation'!D22</f>
        <v>415.94497678079995</v>
      </c>
      <c r="E11" s="848">
        <f>'Interest Calculation'!E22</f>
        <v>415.94497678079995</v>
      </c>
      <c r="F11" s="848">
        <f>'Interest Calculation'!F22</f>
        <v>415.94497678079995</v>
      </c>
      <c r="G11" s="848">
        <f>'Interest Calculation'!G22</f>
        <v>415.94497678079995</v>
      </c>
      <c r="H11" s="848">
        <f>'Interest Calculation'!H22</f>
        <v>415.94497678079995</v>
      </c>
      <c r="I11" s="848">
        <f>'Interest Calculation'!I22</f>
        <v>415.94497678079995</v>
      </c>
      <c r="J11" s="852">
        <f>'Interest Calculation'!J22</f>
        <v>415.94497678079995</v>
      </c>
    </row>
    <row r="12" spans="1:12" ht="17.100000000000001" customHeight="1">
      <c r="A12" s="1130"/>
      <c r="B12" s="1131"/>
      <c r="C12" s="1131"/>
      <c r="D12" s="1131"/>
      <c r="E12" s="1131"/>
      <c r="F12" s="1131"/>
      <c r="G12" s="1131"/>
      <c r="H12" s="1131"/>
      <c r="I12" s="1131"/>
      <c r="J12" s="1132"/>
    </row>
    <row r="13" spans="1:12" s="120" customFormat="1" ht="17.100000000000001" customHeight="1">
      <c r="A13" s="505" t="s">
        <v>373</v>
      </c>
      <c r="B13" s="849">
        <f t="shared" ref="B13:J13" si="2">SUM(B10:B11)</f>
        <v>311.95873258559999</v>
      </c>
      <c r="C13" s="849">
        <f t="shared" si="2"/>
        <v>717.50508494687995</v>
      </c>
      <c r="D13" s="849">
        <f t="shared" si="2"/>
        <v>675.91058726879987</v>
      </c>
      <c r="E13" s="849">
        <f t="shared" si="2"/>
        <v>634.31608959071991</v>
      </c>
      <c r="F13" s="849">
        <f t="shared" si="2"/>
        <v>592.72159191263995</v>
      </c>
      <c r="G13" s="849">
        <f t="shared" si="2"/>
        <v>500.73534771743994</v>
      </c>
      <c r="H13" s="849">
        <f t="shared" si="2"/>
        <v>479.9380988783999</v>
      </c>
      <c r="I13" s="849">
        <f t="shared" si="2"/>
        <v>459.14085003935992</v>
      </c>
      <c r="J13" s="853">
        <f t="shared" si="2"/>
        <v>438.34360120031988</v>
      </c>
      <c r="L13" s="136"/>
    </row>
    <row r="14" spans="1:12" ht="17.100000000000001" customHeight="1">
      <c r="A14" s="1130"/>
      <c r="B14" s="1131"/>
      <c r="C14" s="1131"/>
      <c r="D14" s="1131"/>
      <c r="E14" s="1131"/>
      <c r="F14" s="1131"/>
      <c r="G14" s="1131"/>
      <c r="H14" s="1131"/>
      <c r="I14" s="1131"/>
      <c r="J14" s="1132"/>
    </row>
    <row r="15" spans="1:12" s="120" customFormat="1" ht="17.100000000000001" customHeight="1">
      <c r="A15" s="850" t="s">
        <v>374</v>
      </c>
      <c r="B15" s="849">
        <f t="shared" ref="B15:J15" si="3">+B8/B13</f>
        <v>2.1590138790948665</v>
      </c>
      <c r="C15" s="849">
        <f t="shared" si="3"/>
        <v>1.3682210397359531</v>
      </c>
      <c r="D15" s="849">
        <f t="shared" si="3"/>
        <v>1.6938074339825986</v>
      </c>
      <c r="E15" s="849">
        <f t="shared" si="3"/>
        <v>1.8499963848601482</v>
      </c>
      <c r="F15" s="849">
        <f t="shared" si="3"/>
        <v>2.0381186558881388</v>
      </c>
      <c r="G15" s="849">
        <f t="shared" si="3"/>
        <v>2.388120600288302</v>
      </c>
      <c r="H15" s="849">
        <f t="shared" si="3"/>
        <v>2.6247306591621551</v>
      </c>
      <c r="I15" s="849">
        <f t="shared" si="3"/>
        <v>2.8929093914051047</v>
      </c>
      <c r="J15" s="853">
        <f t="shared" si="3"/>
        <v>3.1954569279971468</v>
      </c>
    </row>
    <row r="16" spans="1:12" ht="17.100000000000001" customHeight="1">
      <c r="A16" s="1130"/>
      <c r="B16" s="1131"/>
      <c r="C16" s="1131"/>
      <c r="D16" s="1131"/>
      <c r="E16" s="1131"/>
      <c r="F16" s="1131"/>
      <c r="G16" s="1131"/>
      <c r="H16" s="1131"/>
      <c r="I16" s="1131"/>
      <c r="J16" s="1132"/>
    </row>
    <row r="17" spans="1:10" ht="17.100000000000001" customHeight="1">
      <c r="A17" s="854" t="s">
        <v>286</v>
      </c>
      <c r="B17" s="855">
        <f>SUM(B8:I8)/SUM(B13:I13)</f>
        <v>2.0505315380718692</v>
      </c>
      <c r="C17" s="856"/>
      <c r="D17" s="856"/>
      <c r="E17" s="856"/>
      <c r="F17" s="856"/>
      <c r="G17" s="856"/>
      <c r="H17" s="856"/>
      <c r="I17" s="856"/>
      <c r="J17" s="857"/>
    </row>
    <row r="18" spans="1:10" ht="17.100000000000001" customHeight="1">
      <c r="A18" s="121"/>
      <c r="B18" s="121"/>
      <c r="C18" s="121"/>
      <c r="D18" s="121"/>
      <c r="E18" s="121"/>
      <c r="F18" s="121"/>
      <c r="G18" s="121"/>
      <c r="H18" s="121"/>
      <c r="I18" s="121"/>
      <c r="J18" s="121"/>
    </row>
    <row r="21" spans="1:10">
      <c r="B21" s="137"/>
      <c r="D21" s="122"/>
      <c r="E21" s="122"/>
      <c r="F21" s="122"/>
      <c r="G21" s="122"/>
      <c r="H21" s="122"/>
      <c r="I21" s="122"/>
      <c r="J21" s="122"/>
    </row>
    <row r="22" spans="1:10">
      <c r="D22" s="122"/>
      <c r="E22" s="122"/>
      <c r="F22" s="122"/>
      <c r="G22" s="122"/>
      <c r="H22" s="122"/>
      <c r="I22" s="122"/>
      <c r="J22" s="122"/>
    </row>
    <row r="23" spans="1:10">
      <c r="D23" s="122"/>
      <c r="E23" s="122"/>
      <c r="F23" s="122"/>
      <c r="G23" s="122"/>
      <c r="H23" s="122"/>
      <c r="I23" s="122"/>
      <c r="J23" s="122"/>
    </row>
    <row r="24" spans="1:10">
      <c r="D24" s="122"/>
      <c r="E24" s="122"/>
      <c r="F24" s="122"/>
      <c r="G24" s="122"/>
      <c r="H24" s="122"/>
      <c r="I24" s="122"/>
      <c r="J24" s="122"/>
    </row>
    <row r="25" spans="1:10">
      <c r="D25" s="122"/>
      <c r="E25" s="122"/>
      <c r="F25" s="122"/>
      <c r="G25" s="122"/>
      <c r="H25" s="122"/>
      <c r="I25" s="122"/>
      <c r="J25" s="122"/>
    </row>
    <row r="26" spans="1:10">
      <c r="D26" s="122"/>
      <c r="E26" s="122"/>
      <c r="F26" s="122"/>
      <c r="G26" s="122"/>
      <c r="H26" s="122"/>
      <c r="I26" s="122"/>
      <c r="J26" s="122"/>
    </row>
    <row r="27" spans="1:10">
      <c r="D27" s="122"/>
      <c r="E27" s="122"/>
      <c r="F27" s="122"/>
      <c r="G27" s="122"/>
      <c r="H27" s="122"/>
      <c r="I27" s="122"/>
      <c r="J27" s="122"/>
    </row>
    <row r="28" spans="1:10">
      <c r="D28" s="122"/>
      <c r="E28" s="122"/>
      <c r="F28" s="122"/>
      <c r="G28" s="122"/>
      <c r="H28" s="122"/>
      <c r="I28" s="122"/>
      <c r="J28" s="122"/>
    </row>
    <row r="29" spans="1:10">
      <c r="D29" s="122"/>
      <c r="E29" s="122"/>
      <c r="F29" s="122"/>
      <c r="G29" s="122"/>
      <c r="H29" s="122"/>
      <c r="I29" s="122"/>
      <c r="J29" s="122"/>
    </row>
    <row r="30" spans="1:10">
      <c r="D30" s="122"/>
      <c r="E30" s="122"/>
      <c r="F30" s="122"/>
      <c r="G30" s="122"/>
      <c r="H30" s="122"/>
      <c r="I30" s="122"/>
      <c r="J30" s="122"/>
    </row>
    <row r="31" spans="1:10">
      <c r="D31" s="122"/>
      <c r="E31" s="122"/>
      <c r="F31" s="122"/>
      <c r="G31" s="122"/>
      <c r="H31" s="122"/>
      <c r="I31" s="122"/>
      <c r="J31" s="122"/>
    </row>
    <row r="32" spans="1:10">
      <c r="D32" s="122"/>
      <c r="E32" s="122"/>
      <c r="F32" s="122"/>
      <c r="G32" s="122"/>
      <c r="H32" s="122"/>
      <c r="I32" s="122"/>
      <c r="J32" s="122"/>
    </row>
    <row r="33" spans="4:10">
      <c r="D33" s="122"/>
      <c r="E33" s="122"/>
      <c r="F33" s="122"/>
      <c r="G33" s="122"/>
      <c r="H33" s="122"/>
      <c r="I33" s="122"/>
      <c r="J33" s="122"/>
    </row>
    <row r="34" spans="4:10">
      <c r="D34" s="122"/>
      <c r="E34" s="122"/>
      <c r="F34" s="122"/>
      <c r="G34" s="122"/>
      <c r="H34" s="122"/>
      <c r="I34" s="122"/>
      <c r="J34" s="122"/>
    </row>
    <row r="35" spans="4:10">
      <c r="D35" s="122"/>
      <c r="E35" s="122"/>
      <c r="F35" s="122"/>
      <c r="G35" s="122"/>
      <c r="H35" s="122"/>
      <c r="I35" s="122"/>
      <c r="J35" s="122"/>
    </row>
    <row r="36" spans="4:10">
      <c r="D36" s="122"/>
      <c r="E36" s="122"/>
      <c r="F36" s="122"/>
      <c r="G36" s="122"/>
      <c r="H36" s="122"/>
      <c r="I36" s="122"/>
      <c r="J36" s="122"/>
    </row>
    <row r="37" spans="4:10">
      <c r="D37" s="122"/>
      <c r="E37" s="122"/>
      <c r="F37" s="122"/>
      <c r="G37" s="122"/>
      <c r="H37" s="122"/>
      <c r="I37" s="122"/>
      <c r="J37" s="122"/>
    </row>
    <row r="38" spans="4:10">
      <c r="D38" s="122"/>
      <c r="E38" s="122"/>
      <c r="F38" s="122"/>
      <c r="G38" s="122"/>
      <c r="H38" s="122"/>
      <c r="I38" s="122"/>
      <c r="J38" s="122"/>
    </row>
    <row r="39" spans="4:10">
      <c r="D39" s="122"/>
      <c r="E39" s="122"/>
      <c r="F39" s="122"/>
      <c r="G39" s="122"/>
      <c r="H39" s="122"/>
      <c r="I39" s="122"/>
      <c r="J39" s="122"/>
    </row>
  </sheetData>
  <mergeCells count="8">
    <mergeCell ref="A14:J14"/>
    <mergeCell ref="A16:J16"/>
    <mergeCell ref="A1:J1"/>
    <mergeCell ref="A2:J2"/>
    <mergeCell ref="A4:J4"/>
    <mergeCell ref="A7:J7"/>
    <mergeCell ref="A9:J9"/>
    <mergeCell ref="A12:J12"/>
  </mergeCells>
  <printOptions gridLines="1"/>
  <pageMargins left="0.75" right="0.75" top="1" bottom="1" header="0.5" footer="0.5"/>
  <pageSetup paperSize="9" scale="95"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DFFC1-BD72-4267-94FF-A11B89EC551B}">
  <sheetPr codeName="Sheet38"/>
  <dimension ref="A1:J17"/>
  <sheetViews>
    <sheetView showGridLines="0" topLeftCell="A10" workbookViewId="0">
      <selection activeCell="K12" sqref="A1:XFD1048576"/>
    </sheetView>
  </sheetViews>
  <sheetFormatPr defaultRowHeight="15"/>
  <cols>
    <col min="1" max="1" width="31.140625" bestFit="1" customWidth="1"/>
  </cols>
  <sheetData>
    <row r="1" spans="1:10">
      <c r="A1" s="1107" t="s">
        <v>281</v>
      </c>
      <c r="B1" s="1108"/>
      <c r="C1" s="1108"/>
      <c r="D1" s="1108"/>
      <c r="E1" s="1108"/>
      <c r="F1" s="1108"/>
      <c r="G1" s="1108"/>
      <c r="H1" s="1108"/>
      <c r="I1" s="1108"/>
      <c r="J1" s="1109"/>
    </row>
    <row r="2" spans="1:10">
      <c r="A2" s="1133" t="s">
        <v>282</v>
      </c>
      <c r="B2" s="1134"/>
      <c r="C2" s="1134"/>
      <c r="D2" s="1134"/>
      <c r="E2" s="1134"/>
      <c r="F2" s="1134"/>
      <c r="G2" s="1134"/>
      <c r="H2" s="1134"/>
      <c r="I2" s="1134"/>
      <c r="J2" s="1135"/>
    </row>
    <row r="3" spans="1:10">
      <c r="A3" s="850" t="s">
        <v>283</v>
      </c>
      <c r="B3" s="134" t="s">
        <v>261</v>
      </c>
      <c r="C3" s="134" t="s">
        <v>262</v>
      </c>
      <c r="D3" s="134" t="s">
        <v>263</v>
      </c>
      <c r="E3" s="134" t="s">
        <v>264</v>
      </c>
      <c r="F3" s="134" t="s">
        <v>265</v>
      </c>
      <c r="G3" s="134" t="s">
        <v>266</v>
      </c>
      <c r="H3" s="134" t="s">
        <v>267</v>
      </c>
      <c r="I3" s="134" t="s">
        <v>268</v>
      </c>
      <c r="J3" s="508" t="s">
        <v>269</v>
      </c>
    </row>
    <row r="4" spans="1:10">
      <c r="A4" s="1130"/>
      <c r="B4" s="1131"/>
      <c r="C4" s="1131"/>
      <c r="D4" s="1131"/>
      <c r="E4" s="1131"/>
      <c r="F4" s="1131"/>
      <c r="G4" s="1131"/>
      <c r="H4" s="1131"/>
      <c r="I4" s="1131"/>
      <c r="J4" s="1132"/>
    </row>
    <row r="5" spans="1:10">
      <c r="A5" s="851" t="s">
        <v>284</v>
      </c>
      <c r="B5" s="848">
        <f>' Profitabilty_PVC Phenol'!B17</f>
        <v>883.2312723105922</v>
      </c>
      <c r="C5" s="848">
        <f>' Profitabilty_PVC Phenol'!C17</f>
        <v>1425.8909593091325</v>
      </c>
      <c r="D5" s="848">
        <f>' Profitabilty_PVC Phenol'!D17</f>
        <v>1755.0359274170901</v>
      </c>
      <c r="E5" s="848">
        <f>' Profitabilty_PVC Phenol'!E17</f>
        <v>1888.9855626744275</v>
      </c>
      <c r="F5" s="848">
        <f>' Profitabilty_PVC Phenol'!F17</f>
        <v>2032.3758989750695</v>
      </c>
      <c r="G5" s="848">
        <f>' Profitabilty_PVC Phenol'!G17</f>
        <v>2183.0944704275944</v>
      </c>
      <c r="H5" s="848">
        <f>' Profitabilty_PVC Phenol'!H17</f>
        <v>2342.637811899709</v>
      </c>
      <c r="I5" s="848">
        <f>' Profitabilty_PVC Phenol'!I17</f>
        <v>2510.9528307467226</v>
      </c>
      <c r="J5" s="852">
        <f>' Profitabilty_PVC Phenol'!J17</f>
        <v>2687.5270903588089</v>
      </c>
    </row>
    <row r="6" spans="1:10">
      <c r="A6" s="851" t="s">
        <v>285</v>
      </c>
      <c r="B6" s="848">
        <f>'Interest Calculation'!B36</f>
        <v>622.35935758560004</v>
      </c>
      <c r="C6" s="848">
        <f>'Interest Calculation'!C36</f>
        <v>601.61404566608007</v>
      </c>
      <c r="D6" s="848">
        <f>'Interest Calculation'!D36</f>
        <v>518.63279798799999</v>
      </c>
      <c r="E6" s="848">
        <f>'Interest Calculation'!E36</f>
        <v>435.65155030991991</v>
      </c>
      <c r="F6" s="848">
        <f>'Interest Calculation'!F36</f>
        <v>352.67030263183989</v>
      </c>
      <c r="G6" s="848">
        <f>'Interest Calculation'!G36</f>
        <v>157.21718343663994</v>
      </c>
      <c r="H6" s="848">
        <f>'Interest Calculation'!H36</f>
        <v>115.72655959759992</v>
      </c>
      <c r="I6" s="848">
        <f>'Interest Calculation'!I36</f>
        <v>74.235935758559918</v>
      </c>
      <c r="J6" s="852">
        <f>'Interest Calculation'!J36</f>
        <v>32.745311919519921</v>
      </c>
    </row>
    <row r="7" spans="1:10">
      <c r="A7" s="1130"/>
      <c r="B7" s="1131"/>
      <c r="C7" s="1131"/>
      <c r="D7" s="1131"/>
      <c r="E7" s="1131"/>
      <c r="F7" s="1131"/>
      <c r="G7" s="1131"/>
      <c r="H7" s="1131"/>
      <c r="I7" s="1131"/>
      <c r="J7" s="1132"/>
    </row>
    <row r="8" spans="1:10">
      <c r="A8" s="505" t="s">
        <v>370</v>
      </c>
      <c r="B8" s="849">
        <f t="shared" ref="B8:J8" si="0">SUM(B5:B6)</f>
        <v>1505.5906298961922</v>
      </c>
      <c r="C8" s="849">
        <f t="shared" si="0"/>
        <v>2027.5050049752126</v>
      </c>
      <c r="D8" s="849">
        <f t="shared" si="0"/>
        <v>2273.6687254050903</v>
      </c>
      <c r="E8" s="849">
        <f t="shared" si="0"/>
        <v>2324.6371129843474</v>
      </c>
      <c r="F8" s="849">
        <f t="shared" si="0"/>
        <v>2385.0462016069096</v>
      </c>
      <c r="G8" s="849">
        <f t="shared" si="0"/>
        <v>2340.3116538642344</v>
      </c>
      <c r="H8" s="849">
        <f t="shared" si="0"/>
        <v>2458.3643714973091</v>
      </c>
      <c r="I8" s="849">
        <f t="shared" si="0"/>
        <v>2585.1887665052827</v>
      </c>
      <c r="J8" s="853">
        <f t="shared" si="0"/>
        <v>2720.2724022783286</v>
      </c>
    </row>
    <row r="9" spans="1:10">
      <c r="A9" s="1130"/>
      <c r="B9" s="1131"/>
      <c r="C9" s="1131"/>
      <c r="D9" s="1131"/>
      <c r="E9" s="1131"/>
      <c r="F9" s="1131"/>
      <c r="G9" s="1131"/>
      <c r="H9" s="1131"/>
      <c r="I9" s="1131"/>
      <c r="J9" s="1132"/>
    </row>
    <row r="10" spans="1:10">
      <c r="A10" s="851" t="s">
        <v>371</v>
      </c>
      <c r="B10" s="848">
        <f t="shared" ref="B10:J10" si="1">+B6</f>
        <v>622.35935758560004</v>
      </c>
      <c r="C10" s="848">
        <f t="shared" si="1"/>
        <v>601.61404566608007</v>
      </c>
      <c r="D10" s="848">
        <f t="shared" si="1"/>
        <v>518.63279798799999</v>
      </c>
      <c r="E10" s="848">
        <f t="shared" si="1"/>
        <v>435.65155030991991</v>
      </c>
      <c r="F10" s="848">
        <f t="shared" si="1"/>
        <v>352.67030263183989</v>
      </c>
      <c r="G10" s="848">
        <f t="shared" si="1"/>
        <v>157.21718343663994</v>
      </c>
      <c r="H10" s="848">
        <f t="shared" si="1"/>
        <v>115.72655959759992</v>
      </c>
      <c r="I10" s="848">
        <f t="shared" si="1"/>
        <v>74.235935758559918</v>
      </c>
      <c r="J10" s="852">
        <f t="shared" si="1"/>
        <v>32.745311919519921</v>
      </c>
    </row>
    <row r="11" spans="1:10">
      <c r="A11" s="851" t="s">
        <v>372</v>
      </c>
      <c r="B11" s="848">
        <f>'Interest Calculation'!B33</f>
        <v>0</v>
      </c>
      <c r="C11" s="848">
        <f>'Interest Calculation'!C33</f>
        <v>829.81247678080001</v>
      </c>
      <c r="D11" s="848">
        <f>'Interest Calculation'!D33</f>
        <v>829.81247678080001</v>
      </c>
      <c r="E11" s="848">
        <f>'Interest Calculation'!E33</f>
        <v>829.81247678080001</v>
      </c>
      <c r="F11" s="848">
        <f>'Interest Calculation'!F33</f>
        <v>829.81247678080001</v>
      </c>
      <c r="G11" s="848">
        <f>'Interest Calculation'!G33</f>
        <v>829.81247678080001</v>
      </c>
      <c r="H11" s="848">
        <f>'Interest Calculation'!H33</f>
        <v>829.81247678080001</v>
      </c>
      <c r="I11" s="848">
        <f>'Interest Calculation'!I33</f>
        <v>829.81247678080001</v>
      </c>
      <c r="J11" s="852">
        <f>'Interest Calculation'!J33</f>
        <v>829.81247678080001</v>
      </c>
    </row>
    <row r="12" spans="1:10">
      <c r="A12" s="1130"/>
      <c r="B12" s="1131"/>
      <c r="C12" s="1131"/>
      <c r="D12" s="1131"/>
      <c r="E12" s="1131"/>
      <c r="F12" s="1131"/>
      <c r="G12" s="1131"/>
      <c r="H12" s="1131"/>
      <c r="I12" s="1131"/>
      <c r="J12" s="1132"/>
    </row>
    <row r="13" spans="1:10">
      <c r="A13" s="505" t="s">
        <v>373</v>
      </c>
      <c r="B13" s="849">
        <f t="shared" ref="B13:J13" si="2">SUM(B10:B11)</f>
        <v>622.35935758560004</v>
      </c>
      <c r="C13" s="849">
        <f t="shared" si="2"/>
        <v>1431.42652244688</v>
      </c>
      <c r="D13" s="849">
        <f t="shared" si="2"/>
        <v>1348.4452747688001</v>
      </c>
      <c r="E13" s="849">
        <f t="shared" si="2"/>
        <v>1265.4640270907198</v>
      </c>
      <c r="F13" s="849">
        <f t="shared" si="2"/>
        <v>1182.48277941264</v>
      </c>
      <c r="G13" s="849">
        <f t="shared" si="2"/>
        <v>987.02966021743998</v>
      </c>
      <c r="H13" s="849">
        <f t="shared" si="2"/>
        <v>945.53903637839994</v>
      </c>
      <c r="I13" s="849">
        <f t="shared" si="2"/>
        <v>904.0484125393599</v>
      </c>
      <c r="J13" s="853">
        <f t="shared" si="2"/>
        <v>862.55778870031997</v>
      </c>
    </row>
    <row r="14" spans="1:10">
      <c r="A14" s="1130"/>
      <c r="B14" s="1131"/>
      <c r="C14" s="1131"/>
      <c r="D14" s="1131"/>
      <c r="E14" s="1131"/>
      <c r="F14" s="1131"/>
      <c r="G14" s="1131"/>
      <c r="H14" s="1131"/>
      <c r="I14" s="1131"/>
      <c r="J14" s="1132"/>
    </row>
    <row r="15" spans="1:10">
      <c r="A15" s="850" t="s">
        <v>374</v>
      </c>
      <c r="B15" s="849">
        <f t="shared" ref="B15:J15" si="3">+B8/B13</f>
        <v>2.4191660518081171</v>
      </c>
      <c r="C15" s="849">
        <f t="shared" si="3"/>
        <v>1.4164226896602392</v>
      </c>
      <c r="D15" s="849">
        <f t="shared" si="3"/>
        <v>1.6861408971861509</v>
      </c>
      <c r="E15" s="849">
        <f t="shared" si="3"/>
        <v>1.8369839546752256</v>
      </c>
      <c r="F15" s="849">
        <f t="shared" si="3"/>
        <v>2.016981763397522</v>
      </c>
      <c r="G15" s="849">
        <f t="shared" si="3"/>
        <v>2.3710651748283533</v>
      </c>
      <c r="H15" s="849">
        <f t="shared" si="3"/>
        <v>2.5999607387055401</v>
      </c>
      <c r="I15" s="849">
        <f t="shared" si="3"/>
        <v>2.8595689463618523</v>
      </c>
      <c r="J15" s="853">
        <f t="shared" si="3"/>
        <v>3.1537277129885588</v>
      </c>
    </row>
    <row r="16" spans="1:10">
      <c r="A16" s="1130"/>
      <c r="B16" s="1131"/>
      <c r="C16" s="1131"/>
      <c r="D16" s="1131"/>
      <c r="E16" s="1131"/>
      <c r="F16" s="1131"/>
      <c r="G16" s="1131"/>
      <c r="H16" s="1131"/>
      <c r="I16" s="1131"/>
      <c r="J16" s="1132"/>
    </row>
    <row r="17" spans="1:10">
      <c r="A17" s="854" t="s">
        <v>286</v>
      </c>
      <c r="B17" s="855">
        <f>SUM(B8:I8)/SUM(B13:I13)</f>
        <v>2.0606348281021702</v>
      </c>
      <c r="C17" s="856"/>
      <c r="D17" s="856"/>
      <c r="E17" s="856"/>
      <c r="F17" s="856"/>
      <c r="G17" s="856"/>
      <c r="H17" s="856"/>
      <c r="I17" s="856"/>
      <c r="J17" s="857"/>
    </row>
  </sheetData>
  <mergeCells count="8">
    <mergeCell ref="A14:J14"/>
    <mergeCell ref="A16:J16"/>
    <mergeCell ref="A1:J1"/>
    <mergeCell ref="A2:J2"/>
    <mergeCell ref="A4:J4"/>
    <mergeCell ref="A7:J7"/>
    <mergeCell ref="A9:J9"/>
    <mergeCell ref="A12:J12"/>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CDD7E-26BC-4A98-940F-2B53341C51B1}">
  <sheetPr codeName="Sheet39">
    <pageSetUpPr autoPageBreaks="0"/>
  </sheetPr>
  <dimension ref="A1:J15"/>
  <sheetViews>
    <sheetView showGridLines="0" zoomScaleNormal="100" zoomScaleSheetLayoutView="100" workbookViewId="0">
      <selection activeCell="A11" sqref="A11"/>
    </sheetView>
  </sheetViews>
  <sheetFormatPr defaultRowHeight="15"/>
  <cols>
    <col min="1" max="1" width="31.140625" style="932" bestFit="1" customWidth="1"/>
    <col min="2" max="16384" width="9.140625" style="932"/>
  </cols>
  <sheetData>
    <row r="1" spans="1:10">
      <c r="A1" s="1107" t="s">
        <v>477</v>
      </c>
      <c r="B1" s="1108"/>
      <c r="C1" s="1108"/>
      <c r="D1" s="1108"/>
      <c r="E1" s="1108"/>
      <c r="F1" s="1108"/>
      <c r="G1" s="1108"/>
      <c r="H1" s="1108"/>
      <c r="I1" s="1108"/>
      <c r="J1" s="1109"/>
    </row>
    <row r="2" spans="1:10">
      <c r="A2" s="850" t="s">
        <v>287</v>
      </c>
      <c r="B2" s="927" t="s">
        <v>288</v>
      </c>
      <c r="C2" s="927" t="s">
        <v>289</v>
      </c>
      <c r="D2" s="927"/>
      <c r="E2" s="927"/>
      <c r="F2" s="927"/>
      <c r="G2" s="927"/>
      <c r="H2" s="927"/>
      <c r="I2" s="927"/>
      <c r="J2" s="928"/>
    </row>
    <row r="3" spans="1:10">
      <c r="A3" s="936" t="s">
        <v>290</v>
      </c>
      <c r="B3" s="945">
        <v>0.25</v>
      </c>
      <c r="C3" s="946">
        <f>C$5*B3</f>
        <v>1513.3625459519999</v>
      </c>
      <c r="D3" s="934"/>
      <c r="E3" s="934"/>
      <c r="F3" s="934"/>
      <c r="G3" s="934"/>
      <c r="H3" s="934"/>
      <c r="I3" s="934"/>
      <c r="J3" s="935"/>
    </row>
    <row r="4" spans="1:10">
      <c r="A4" s="851" t="s">
        <v>291</v>
      </c>
      <c r="B4" s="945">
        <v>0.75</v>
      </c>
      <c r="C4" s="946">
        <f>C$5*B4</f>
        <v>4540.0876378559997</v>
      </c>
      <c r="D4" s="121"/>
      <c r="E4" s="121"/>
      <c r="F4" s="121"/>
      <c r="G4" s="121"/>
      <c r="H4" s="121"/>
      <c r="I4" s="121"/>
      <c r="J4" s="943"/>
    </row>
    <row r="5" spans="1:10">
      <c r="A5" s="933" t="s">
        <v>151</v>
      </c>
      <c r="B5" s="944">
        <f>SUM(B3:B4)</f>
        <v>1</v>
      </c>
      <c r="C5" s="947">
        <f>Capex!H21</f>
        <v>6053.4501838079996</v>
      </c>
      <c r="D5" s="937"/>
      <c r="E5" s="937"/>
      <c r="F5" s="937"/>
      <c r="G5" s="937"/>
      <c r="H5" s="937"/>
      <c r="I5" s="937"/>
      <c r="J5" s="938"/>
    </row>
    <row r="6" spans="1:10">
      <c r="A6" s="936"/>
      <c r="B6" s="937"/>
      <c r="C6" s="937"/>
      <c r="D6" s="937"/>
      <c r="E6" s="937"/>
      <c r="F6" s="937"/>
      <c r="G6" s="937"/>
      <c r="H6" s="937"/>
      <c r="I6" s="937"/>
      <c r="J6" s="938"/>
    </row>
    <row r="7" spans="1:10">
      <c r="A7" s="1107" t="s">
        <v>478</v>
      </c>
      <c r="B7" s="1108"/>
      <c r="C7" s="1108"/>
      <c r="D7" s="1108"/>
      <c r="E7" s="1108"/>
      <c r="F7" s="1108"/>
      <c r="G7" s="1108"/>
      <c r="H7" s="1108"/>
      <c r="I7" s="1108"/>
      <c r="J7" s="1109"/>
    </row>
    <row r="8" spans="1:10">
      <c r="A8" s="933" t="s">
        <v>287</v>
      </c>
      <c r="B8" s="939" t="s">
        <v>288</v>
      </c>
      <c r="C8" s="939" t="s">
        <v>289</v>
      </c>
      <c r="D8" s="939"/>
      <c r="E8" s="939"/>
      <c r="F8" s="939"/>
      <c r="G8" s="939"/>
      <c r="H8" s="939"/>
      <c r="I8" s="939"/>
      <c r="J8" s="940"/>
    </row>
    <row r="9" spans="1:10">
      <c r="A9" s="851" t="s">
        <v>290</v>
      </c>
      <c r="B9" s="945">
        <v>0.25</v>
      </c>
      <c r="C9" s="946">
        <f>C$11*B9</f>
        <v>1039.8624419519999</v>
      </c>
      <c r="D9" s="121"/>
      <c r="E9" s="121"/>
      <c r="F9" s="121"/>
      <c r="G9" s="121"/>
      <c r="H9" s="121"/>
      <c r="I9" s="121"/>
      <c r="J9" s="943"/>
    </row>
    <row r="10" spans="1:10">
      <c r="A10" s="936" t="s">
        <v>291</v>
      </c>
      <c r="B10" s="945">
        <v>0.75</v>
      </c>
      <c r="C10" s="946">
        <f>C$11*B10</f>
        <v>3119.5873258559996</v>
      </c>
      <c r="D10" s="937"/>
      <c r="E10" s="937"/>
      <c r="F10" s="937"/>
      <c r="G10" s="937"/>
      <c r="H10" s="937"/>
      <c r="I10" s="937"/>
      <c r="J10" s="938"/>
    </row>
    <row r="11" spans="1:10">
      <c r="A11" s="933" t="s">
        <v>151</v>
      </c>
      <c r="B11" s="944">
        <f>SUM(B9:B10)</f>
        <v>1</v>
      </c>
      <c r="C11" s="947">
        <f>Capex!D21</f>
        <v>4159.4497678079997</v>
      </c>
      <c r="D11" s="937"/>
      <c r="E11" s="937"/>
      <c r="F11" s="937"/>
      <c r="G11" s="937"/>
      <c r="H11" s="937"/>
      <c r="I11" s="937"/>
      <c r="J11" s="938"/>
    </row>
    <row r="12" spans="1:10">
      <c r="A12" s="1107" t="s">
        <v>571</v>
      </c>
      <c r="B12" s="1108"/>
      <c r="C12" s="1108"/>
      <c r="D12" s="1108"/>
      <c r="E12" s="1108"/>
      <c r="F12" s="1108"/>
      <c r="G12" s="1108"/>
      <c r="H12" s="1108"/>
      <c r="I12" s="1108"/>
      <c r="J12" s="1109"/>
    </row>
    <row r="13" spans="1:10">
      <c r="A13" s="936" t="s">
        <v>290</v>
      </c>
      <c r="B13" s="945">
        <v>0.25</v>
      </c>
      <c r="C13" s="946">
        <f>C$15*B13</f>
        <v>2074.531191952</v>
      </c>
      <c r="D13" s="939"/>
      <c r="E13" s="939"/>
      <c r="F13" s="939"/>
      <c r="G13" s="939"/>
      <c r="H13" s="939"/>
      <c r="I13" s="939"/>
      <c r="J13" s="940"/>
    </row>
    <row r="14" spans="1:10">
      <c r="A14" s="851" t="s">
        <v>291</v>
      </c>
      <c r="B14" s="945">
        <v>0.75</v>
      </c>
      <c r="C14" s="946">
        <f>C$15*B14</f>
        <v>6223.5935758559999</v>
      </c>
      <c r="D14" s="121"/>
      <c r="E14" s="121"/>
      <c r="F14" s="121"/>
      <c r="G14" s="121"/>
      <c r="H14" s="121"/>
      <c r="I14" s="121"/>
      <c r="J14" s="943"/>
    </row>
    <row r="15" spans="1:10">
      <c r="A15" s="941" t="s">
        <v>151</v>
      </c>
      <c r="B15" s="948">
        <f>SUM(B13:B14)</f>
        <v>1</v>
      </c>
      <c r="C15" s="949">
        <f>-('Cashflow - PVC Phenol Propane'!G10)</f>
        <v>8298.1247678079999</v>
      </c>
      <c r="D15" s="942"/>
      <c r="E15" s="942"/>
      <c r="F15" s="942"/>
      <c r="G15" s="942"/>
      <c r="H15" s="942"/>
      <c r="I15" s="942"/>
      <c r="J15" s="950"/>
    </row>
  </sheetData>
  <mergeCells count="3">
    <mergeCell ref="A1:J1"/>
    <mergeCell ref="A7:J7"/>
    <mergeCell ref="A12:J12"/>
  </mergeCells>
  <printOptions horizontalCentered="1" gridLines="1"/>
  <pageMargins left="0.98425196850393704" right="0.74803149606299213" top="0.98425196850393704" bottom="0.98425196850393704" header="0.51181102362204722" footer="0.51181102362204722"/>
  <pageSetup paperSize="9" orientation="portrait" r:id="rId1"/>
  <headerFooter scaleWithDoc="0"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B1407-B54D-4B4F-AC5E-08E1FE56517D}">
  <sheetPr codeName="Sheet40"/>
  <dimension ref="A1:Q51"/>
  <sheetViews>
    <sheetView showGridLines="0" zoomScaleNormal="100" zoomScaleSheetLayoutView="100" workbookViewId="0">
      <selection activeCell="E24" sqref="E24"/>
    </sheetView>
  </sheetViews>
  <sheetFormatPr defaultRowHeight="12.75"/>
  <cols>
    <col min="1" max="1" width="33.7109375" style="119" customWidth="1"/>
    <col min="2" max="9" width="12.7109375" style="119" customWidth="1"/>
    <col min="10" max="10" width="9.42578125" style="119" bestFit="1" customWidth="1"/>
    <col min="11" max="253" width="9.140625" style="119"/>
    <col min="254" max="254" width="33.7109375" style="119" customWidth="1"/>
    <col min="255" max="262" width="12.7109375" style="119" customWidth="1"/>
    <col min="263" max="263" width="8.42578125" style="119" bestFit="1" customWidth="1"/>
    <col min="264" max="264" width="10.5703125" style="119" bestFit="1" customWidth="1"/>
    <col min="265" max="265" width="9.42578125" style="119" bestFit="1" customWidth="1"/>
    <col min="266" max="509" width="9.140625" style="119"/>
    <col min="510" max="510" width="33.7109375" style="119" customWidth="1"/>
    <col min="511" max="518" width="12.7109375" style="119" customWidth="1"/>
    <col min="519" max="519" width="8.42578125" style="119" bestFit="1" customWidth="1"/>
    <col min="520" max="520" width="10.5703125" style="119" bestFit="1" customWidth="1"/>
    <col min="521" max="521" width="9.42578125" style="119" bestFit="1" customWidth="1"/>
    <col min="522" max="765" width="9.140625" style="119"/>
    <col min="766" max="766" width="33.7109375" style="119" customWidth="1"/>
    <col min="767" max="774" width="12.7109375" style="119" customWidth="1"/>
    <col min="775" max="775" width="8.42578125" style="119" bestFit="1" customWidth="1"/>
    <col min="776" max="776" width="10.5703125" style="119" bestFit="1" customWidth="1"/>
    <col min="777" max="777" width="9.42578125" style="119" bestFit="1" customWidth="1"/>
    <col min="778" max="1021" width="9.140625" style="119"/>
    <col min="1022" max="1022" width="33.7109375" style="119" customWidth="1"/>
    <col min="1023" max="1030" width="12.7109375" style="119" customWidth="1"/>
    <col min="1031" max="1031" width="8.42578125" style="119" bestFit="1" customWidth="1"/>
    <col min="1032" max="1032" width="10.5703125" style="119" bestFit="1" customWidth="1"/>
    <col min="1033" max="1033" width="9.42578125" style="119" bestFit="1" customWidth="1"/>
    <col min="1034" max="1277" width="9.140625" style="119"/>
    <col min="1278" max="1278" width="33.7109375" style="119" customWidth="1"/>
    <col min="1279" max="1286" width="12.7109375" style="119" customWidth="1"/>
    <col min="1287" max="1287" width="8.42578125" style="119" bestFit="1" customWidth="1"/>
    <col min="1288" max="1288" width="10.5703125" style="119" bestFit="1" customWidth="1"/>
    <col min="1289" max="1289" width="9.42578125" style="119" bestFit="1" customWidth="1"/>
    <col min="1290" max="1533" width="9.140625" style="119"/>
    <col min="1534" max="1534" width="33.7109375" style="119" customWidth="1"/>
    <col min="1535" max="1542" width="12.7109375" style="119" customWidth="1"/>
    <col min="1543" max="1543" width="8.42578125" style="119" bestFit="1" customWidth="1"/>
    <col min="1544" max="1544" width="10.5703125" style="119" bestFit="1" customWidth="1"/>
    <col min="1545" max="1545" width="9.42578125" style="119" bestFit="1" customWidth="1"/>
    <col min="1546" max="1789" width="9.140625" style="119"/>
    <col min="1790" max="1790" width="33.7109375" style="119" customWidth="1"/>
    <col min="1791" max="1798" width="12.7109375" style="119" customWidth="1"/>
    <col min="1799" max="1799" width="8.42578125" style="119" bestFit="1" customWidth="1"/>
    <col min="1800" max="1800" width="10.5703125" style="119" bestFit="1" customWidth="1"/>
    <col min="1801" max="1801" width="9.42578125" style="119" bestFit="1" customWidth="1"/>
    <col min="1802" max="2045" width="9.140625" style="119"/>
    <col min="2046" max="2046" width="33.7109375" style="119" customWidth="1"/>
    <col min="2047" max="2054" width="12.7109375" style="119" customWidth="1"/>
    <col min="2055" max="2055" width="8.42578125" style="119" bestFit="1" customWidth="1"/>
    <col min="2056" max="2056" width="10.5703125" style="119" bestFit="1" customWidth="1"/>
    <col min="2057" max="2057" width="9.42578125" style="119" bestFit="1" customWidth="1"/>
    <col min="2058" max="2301" width="9.140625" style="119"/>
    <col min="2302" max="2302" width="33.7109375" style="119" customWidth="1"/>
    <col min="2303" max="2310" width="12.7109375" style="119" customWidth="1"/>
    <col min="2311" max="2311" width="8.42578125" style="119" bestFit="1" customWidth="1"/>
    <col min="2312" max="2312" width="10.5703125" style="119" bestFit="1" customWidth="1"/>
    <col min="2313" max="2313" width="9.42578125" style="119" bestFit="1" customWidth="1"/>
    <col min="2314" max="2557" width="9.140625" style="119"/>
    <col min="2558" max="2558" width="33.7109375" style="119" customWidth="1"/>
    <col min="2559" max="2566" width="12.7109375" style="119" customWidth="1"/>
    <col min="2567" max="2567" width="8.42578125" style="119" bestFit="1" customWidth="1"/>
    <col min="2568" max="2568" width="10.5703125" style="119" bestFit="1" customWidth="1"/>
    <col min="2569" max="2569" width="9.42578125" style="119" bestFit="1" customWidth="1"/>
    <col min="2570" max="2813" width="9.140625" style="119"/>
    <col min="2814" max="2814" width="33.7109375" style="119" customWidth="1"/>
    <col min="2815" max="2822" width="12.7109375" style="119" customWidth="1"/>
    <col min="2823" max="2823" width="8.42578125" style="119" bestFit="1" customWidth="1"/>
    <col min="2824" max="2824" width="10.5703125" style="119" bestFit="1" customWidth="1"/>
    <col min="2825" max="2825" width="9.42578125" style="119" bestFit="1" customWidth="1"/>
    <col min="2826" max="3069" width="9.140625" style="119"/>
    <col min="3070" max="3070" width="33.7109375" style="119" customWidth="1"/>
    <col min="3071" max="3078" width="12.7109375" style="119" customWidth="1"/>
    <col min="3079" max="3079" width="8.42578125" style="119" bestFit="1" customWidth="1"/>
    <col min="3080" max="3080" width="10.5703125" style="119" bestFit="1" customWidth="1"/>
    <col min="3081" max="3081" width="9.42578125" style="119" bestFit="1" customWidth="1"/>
    <col min="3082" max="3325" width="9.140625" style="119"/>
    <col min="3326" max="3326" width="33.7109375" style="119" customWidth="1"/>
    <col min="3327" max="3334" width="12.7109375" style="119" customWidth="1"/>
    <col min="3335" max="3335" width="8.42578125" style="119" bestFit="1" customWidth="1"/>
    <col min="3336" max="3336" width="10.5703125" style="119" bestFit="1" customWidth="1"/>
    <col min="3337" max="3337" width="9.42578125" style="119" bestFit="1" customWidth="1"/>
    <col min="3338" max="3581" width="9.140625" style="119"/>
    <col min="3582" max="3582" width="33.7109375" style="119" customWidth="1"/>
    <col min="3583" max="3590" width="12.7109375" style="119" customWidth="1"/>
    <col min="3591" max="3591" width="8.42578125" style="119" bestFit="1" customWidth="1"/>
    <col min="3592" max="3592" width="10.5703125" style="119" bestFit="1" customWidth="1"/>
    <col min="3593" max="3593" width="9.42578125" style="119" bestFit="1" customWidth="1"/>
    <col min="3594" max="3837" width="9.140625" style="119"/>
    <col min="3838" max="3838" width="33.7109375" style="119" customWidth="1"/>
    <col min="3839" max="3846" width="12.7109375" style="119" customWidth="1"/>
    <col min="3847" max="3847" width="8.42578125" style="119" bestFit="1" customWidth="1"/>
    <col min="3848" max="3848" width="10.5703125" style="119" bestFit="1" customWidth="1"/>
    <col min="3849" max="3849" width="9.42578125" style="119" bestFit="1" customWidth="1"/>
    <col min="3850" max="4093" width="9.140625" style="119"/>
    <col min="4094" max="4094" width="33.7109375" style="119" customWidth="1"/>
    <col min="4095" max="4102" width="12.7109375" style="119" customWidth="1"/>
    <col min="4103" max="4103" width="8.42578125" style="119" bestFit="1" customWidth="1"/>
    <col min="4104" max="4104" width="10.5703125" style="119" bestFit="1" customWidth="1"/>
    <col min="4105" max="4105" width="9.42578125" style="119" bestFit="1" customWidth="1"/>
    <col min="4106" max="4349" width="9.140625" style="119"/>
    <col min="4350" max="4350" width="33.7109375" style="119" customWidth="1"/>
    <col min="4351" max="4358" width="12.7109375" style="119" customWidth="1"/>
    <col min="4359" max="4359" width="8.42578125" style="119" bestFit="1" customWidth="1"/>
    <col min="4360" max="4360" width="10.5703125" style="119" bestFit="1" customWidth="1"/>
    <col min="4361" max="4361" width="9.42578125" style="119" bestFit="1" customWidth="1"/>
    <col min="4362" max="4605" width="9.140625" style="119"/>
    <col min="4606" max="4606" width="33.7109375" style="119" customWidth="1"/>
    <col min="4607" max="4614" width="12.7109375" style="119" customWidth="1"/>
    <col min="4615" max="4615" width="8.42578125" style="119" bestFit="1" customWidth="1"/>
    <col min="4616" max="4616" width="10.5703125" style="119" bestFit="1" customWidth="1"/>
    <col min="4617" max="4617" width="9.42578125" style="119" bestFit="1" customWidth="1"/>
    <col min="4618" max="4861" width="9.140625" style="119"/>
    <col min="4862" max="4862" width="33.7109375" style="119" customWidth="1"/>
    <col min="4863" max="4870" width="12.7109375" style="119" customWidth="1"/>
    <col min="4871" max="4871" width="8.42578125" style="119" bestFit="1" customWidth="1"/>
    <col min="4872" max="4872" width="10.5703125" style="119" bestFit="1" customWidth="1"/>
    <col min="4873" max="4873" width="9.42578125" style="119" bestFit="1" customWidth="1"/>
    <col min="4874" max="5117" width="9.140625" style="119"/>
    <col min="5118" max="5118" width="33.7109375" style="119" customWidth="1"/>
    <col min="5119" max="5126" width="12.7109375" style="119" customWidth="1"/>
    <col min="5127" max="5127" width="8.42578125" style="119" bestFit="1" customWidth="1"/>
    <col min="5128" max="5128" width="10.5703125" style="119" bestFit="1" customWidth="1"/>
    <col min="5129" max="5129" width="9.42578125" style="119" bestFit="1" customWidth="1"/>
    <col min="5130" max="5373" width="9.140625" style="119"/>
    <col min="5374" max="5374" width="33.7109375" style="119" customWidth="1"/>
    <col min="5375" max="5382" width="12.7109375" style="119" customWidth="1"/>
    <col min="5383" max="5383" width="8.42578125" style="119" bestFit="1" customWidth="1"/>
    <col min="5384" max="5384" width="10.5703125" style="119" bestFit="1" customWidth="1"/>
    <col min="5385" max="5385" width="9.42578125" style="119" bestFit="1" customWidth="1"/>
    <col min="5386" max="5629" width="9.140625" style="119"/>
    <col min="5630" max="5630" width="33.7109375" style="119" customWidth="1"/>
    <col min="5631" max="5638" width="12.7109375" style="119" customWidth="1"/>
    <col min="5639" max="5639" width="8.42578125" style="119" bestFit="1" customWidth="1"/>
    <col min="5640" max="5640" width="10.5703125" style="119" bestFit="1" customWidth="1"/>
    <col min="5641" max="5641" width="9.42578125" style="119" bestFit="1" customWidth="1"/>
    <col min="5642" max="5885" width="9.140625" style="119"/>
    <col min="5886" max="5886" width="33.7109375" style="119" customWidth="1"/>
    <col min="5887" max="5894" width="12.7109375" style="119" customWidth="1"/>
    <col min="5895" max="5895" width="8.42578125" style="119" bestFit="1" customWidth="1"/>
    <col min="5896" max="5896" width="10.5703125" style="119" bestFit="1" customWidth="1"/>
    <col min="5897" max="5897" width="9.42578125" style="119" bestFit="1" customWidth="1"/>
    <col min="5898" max="6141" width="9.140625" style="119"/>
    <col min="6142" max="6142" width="33.7109375" style="119" customWidth="1"/>
    <col min="6143" max="6150" width="12.7109375" style="119" customWidth="1"/>
    <col min="6151" max="6151" width="8.42578125" style="119" bestFit="1" customWidth="1"/>
    <col min="6152" max="6152" width="10.5703125" style="119" bestFit="1" customWidth="1"/>
    <col min="6153" max="6153" width="9.42578125" style="119" bestFit="1" customWidth="1"/>
    <col min="6154" max="6397" width="9.140625" style="119"/>
    <col min="6398" max="6398" width="33.7109375" style="119" customWidth="1"/>
    <col min="6399" max="6406" width="12.7109375" style="119" customWidth="1"/>
    <col min="6407" max="6407" width="8.42578125" style="119" bestFit="1" customWidth="1"/>
    <col min="6408" max="6408" width="10.5703125" style="119" bestFit="1" customWidth="1"/>
    <col min="6409" max="6409" width="9.42578125" style="119" bestFit="1" customWidth="1"/>
    <col min="6410" max="6653" width="9.140625" style="119"/>
    <col min="6654" max="6654" width="33.7109375" style="119" customWidth="1"/>
    <col min="6655" max="6662" width="12.7109375" style="119" customWidth="1"/>
    <col min="6663" max="6663" width="8.42578125" style="119" bestFit="1" customWidth="1"/>
    <col min="6664" max="6664" width="10.5703125" style="119" bestFit="1" customWidth="1"/>
    <col min="6665" max="6665" width="9.42578125" style="119" bestFit="1" customWidth="1"/>
    <col min="6666" max="6909" width="9.140625" style="119"/>
    <col min="6910" max="6910" width="33.7109375" style="119" customWidth="1"/>
    <col min="6911" max="6918" width="12.7109375" style="119" customWidth="1"/>
    <col min="6919" max="6919" width="8.42578125" style="119" bestFit="1" customWidth="1"/>
    <col min="6920" max="6920" width="10.5703125" style="119" bestFit="1" customWidth="1"/>
    <col min="6921" max="6921" width="9.42578125" style="119" bestFit="1" customWidth="1"/>
    <col min="6922" max="7165" width="9.140625" style="119"/>
    <col min="7166" max="7166" width="33.7109375" style="119" customWidth="1"/>
    <col min="7167" max="7174" width="12.7109375" style="119" customWidth="1"/>
    <col min="7175" max="7175" width="8.42578125" style="119" bestFit="1" customWidth="1"/>
    <col min="7176" max="7176" width="10.5703125" style="119" bestFit="1" customWidth="1"/>
    <col min="7177" max="7177" width="9.42578125" style="119" bestFit="1" customWidth="1"/>
    <col min="7178" max="7421" width="9.140625" style="119"/>
    <col min="7422" max="7422" width="33.7109375" style="119" customWidth="1"/>
    <col min="7423" max="7430" width="12.7109375" style="119" customWidth="1"/>
    <col min="7431" max="7431" width="8.42578125" style="119" bestFit="1" customWidth="1"/>
    <col min="7432" max="7432" width="10.5703125" style="119" bestFit="1" customWidth="1"/>
    <col min="7433" max="7433" width="9.42578125" style="119" bestFit="1" customWidth="1"/>
    <col min="7434" max="7677" width="9.140625" style="119"/>
    <col min="7678" max="7678" width="33.7109375" style="119" customWidth="1"/>
    <col min="7679" max="7686" width="12.7109375" style="119" customWidth="1"/>
    <col min="7687" max="7687" width="8.42578125" style="119" bestFit="1" customWidth="1"/>
    <col min="7688" max="7688" width="10.5703125" style="119" bestFit="1" customWidth="1"/>
    <col min="7689" max="7689" width="9.42578125" style="119" bestFit="1" customWidth="1"/>
    <col min="7690" max="7933" width="9.140625" style="119"/>
    <col min="7934" max="7934" width="33.7109375" style="119" customWidth="1"/>
    <col min="7935" max="7942" width="12.7109375" style="119" customWidth="1"/>
    <col min="7943" max="7943" width="8.42578125" style="119" bestFit="1" customWidth="1"/>
    <col min="7944" max="7944" width="10.5703125" style="119" bestFit="1" customWidth="1"/>
    <col min="7945" max="7945" width="9.42578125" style="119" bestFit="1" customWidth="1"/>
    <col min="7946" max="8189" width="9.140625" style="119"/>
    <col min="8190" max="8190" width="33.7109375" style="119" customWidth="1"/>
    <col min="8191" max="8198" width="12.7109375" style="119" customWidth="1"/>
    <col min="8199" max="8199" width="8.42578125" style="119" bestFit="1" customWidth="1"/>
    <col min="8200" max="8200" width="10.5703125" style="119" bestFit="1" customWidth="1"/>
    <col min="8201" max="8201" width="9.42578125" style="119" bestFit="1" customWidth="1"/>
    <col min="8202" max="8445" width="9.140625" style="119"/>
    <col min="8446" max="8446" width="33.7109375" style="119" customWidth="1"/>
    <col min="8447" max="8454" width="12.7109375" style="119" customWidth="1"/>
    <col min="8455" max="8455" width="8.42578125" style="119" bestFit="1" customWidth="1"/>
    <col min="8456" max="8456" width="10.5703125" style="119" bestFit="1" customWidth="1"/>
    <col min="8457" max="8457" width="9.42578125" style="119" bestFit="1" customWidth="1"/>
    <col min="8458" max="8701" width="9.140625" style="119"/>
    <col min="8702" max="8702" width="33.7109375" style="119" customWidth="1"/>
    <col min="8703" max="8710" width="12.7109375" style="119" customWidth="1"/>
    <col min="8711" max="8711" width="8.42578125" style="119" bestFit="1" customWidth="1"/>
    <col min="8712" max="8712" width="10.5703125" style="119" bestFit="1" customWidth="1"/>
    <col min="8713" max="8713" width="9.42578125" style="119" bestFit="1" customWidth="1"/>
    <col min="8714" max="8957" width="9.140625" style="119"/>
    <col min="8958" max="8958" width="33.7109375" style="119" customWidth="1"/>
    <col min="8959" max="8966" width="12.7109375" style="119" customWidth="1"/>
    <col min="8967" max="8967" width="8.42578125" style="119" bestFit="1" customWidth="1"/>
    <col min="8968" max="8968" width="10.5703125" style="119" bestFit="1" customWidth="1"/>
    <col min="8969" max="8969" width="9.42578125" style="119" bestFit="1" customWidth="1"/>
    <col min="8970" max="9213" width="9.140625" style="119"/>
    <col min="9214" max="9214" width="33.7109375" style="119" customWidth="1"/>
    <col min="9215" max="9222" width="12.7109375" style="119" customWidth="1"/>
    <col min="9223" max="9223" width="8.42578125" style="119" bestFit="1" customWidth="1"/>
    <col min="9224" max="9224" width="10.5703125" style="119" bestFit="1" customWidth="1"/>
    <col min="9225" max="9225" width="9.42578125" style="119" bestFit="1" customWidth="1"/>
    <col min="9226" max="9469" width="9.140625" style="119"/>
    <col min="9470" max="9470" width="33.7109375" style="119" customWidth="1"/>
    <col min="9471" max="9478" width="12.7109375" style="119" customWidth="1"/>
    <col min="9479" max="9479" width="8.42578125" style="119" bestFit="1" customWidth="1"/>
    <col min="9480" max="9480" width="10.5703125" style="119" bestFit="1" customWidth="1"/>
    <col min="9481" max="9481" width="9.42578125" style="119" bestFit="1" customWidth="1"/>
    <col min="9482" max="9725" width="9.140625" style="119"/>
    <col min="9726" max="9726" width="33.7109375" style="119" customWidth="1"/>
    <col min="9727" max="9734" width="12.7109375" style="119" customWidth="1"/>
    <col min="9735" max="9735" width="8.42578125" style="119" bestFit="1" customWidth="1"/>
    <col min="9736" max="9736" width="10.5703125" style="119" bestFit="1" customWidth="1"/>
    <col min="9737" max="9737" width="9.42578125" style="119" bestFit="1" customWidth="1"/>
    <col min="9738" max="9981" width="9.140625" style="119"/>
    <col min="9982" max="9982" width="33.7109375" style="119" customWidth="1"/>
    <col min="9983" max="9990" width="12.7109375" style="119" customWidth="1"/>
    <col min="9991" max="9991" width="8.42578125" style="119" bestFit="1" customWidth="1"/>
    <col min="9992" max="9992" width="10.5703125" style="119" bestFit="1" customWidth="1"/>
    <col min="9993" max="9993" width="9.42578125" style="119" bestFit="1" customWidth="1"/>
    <col min="9994" max="10237" width="9.140625" style="119"/>
    <col min="10238" max="10238" width="33.7109375" style="119" customWidth="1"/>
    <col min="10239" max="10246" width="12.7109375" style="119" customWidth="1"/>
    <col min="10247" max="10247" width="8.42578125" style="119" bestFit="1" customWidth="1"/>
    <col min="10248" max="10248" width="10.5703125" style="119" bestFit="1" customWidth="1"/>
    <col min="10249" max="10249" width="9.42578125" style="119" bestFit="1" customWidth="1"/>
    <col min="10250" max="10493" width="9.140625" style="119"/>
    <col min="10494" max="10494" width="33.7109375" style="119" customWidth="1"/>
    <col min="10495" max="10502" width="12.7109375" style="119" customWidth="1"/>
    <col min="10503" max="10503" width="8.42578125" style="119" bestFit="1" customWidth="1"/>
    <col min="10504" max="10504" width="10.5703125" style="119" bestFit="1" customWidth="1"/>
    <col min="10505" max="10505" width="9.42578125" style="119" bestFit="1" customWidth="1"/>
    <col min="10506" max="10749" width="9.140625" style="119"/>
    <col min="10750" max="10750" width="33.7109375" style="119" customWidth="1"/>
    <col min="10751" max="10758" width="12.7109375" style="119" customWidth="1"/>
    <col min="10759" max="10759" width="8.42578125" style="119" bestFit="1" customWidth="1"/>
    <col min="10760" max="10760" width="10.5703125" style="119" bestFit="1" customWidth="1"/>
    <col min="10761" max="10761" width="9.42578125" style="119" bestFit="1" customWidth="1"/>
    <col min="10762" max="11005" width="9.140625" style="119"/>
    <col min="11006" max="11006" width="33.7109375" style="119" customWidth="1"/>
    <col min="11007" max="11014" width="12.7109375" style="119" customWidth="1"/>
    <col min="11015" max="11015" width="8.42578125" style="119" bestFit="1" customWidth="1"/>
    <col min="11016" max="11016" width="10.5703125" style="119" bestFit="1" customWidth="1"/>
    <col min="11017" max="11017" width="9.42578125" style="119" bestFit="1" customWidth="1"/>
    <col min="11018" max="11261" width="9.140625" style="119"/>
    <col min="11262" max="11262" width="33.7109375" style="119" customWidth="1"/>
    <col min="11263" max="11270" width="12.7109375" style="119" customWidth="1"/>
    <col min="11271" max="11271" width="8.42578125" style="119" bestFit="1" customWidth="1"/>
    <col min="11272" max="11272" width="10.5703125" style="119" bestFit="1" customWidth="1"/>
    <col min="11273" max="11273" width="9.42578125" style="119" bestFit="1" customWidth="1"/>
    <col min="11274" max="11517" width="9.140625" style="119"/>
    <col min="11518" max="11518" width="33.7109375" style="119" customWidth="1"/>
    <col min="11519" max="11526" width="12.7109375" style="119" customWidth="1"/>
    <col min="11527" max="11527" width="8.42578125" style="119" bestFit="1" customWidth="1"/>
    <col min="11528" max="11528" width="10.5703125" style="119" bestFit="1" customWidth="1"/>
    <col min="11529" max="11529" width="9.42578125" style="119" bestFit="1" customWidth="1"/>
    <col min="11530" max="11773" width="9.140625" style="119"/>
    <col min="11774" max="11774" width="33.7109375" style="119" customWidth="1"/>
    <col min="11775" max="11782" width="12.7109375" style="119" customWidth="1"/>
    <col min="11783" max="11783" width="8.42578125" style="119" bestFit="1" customWidth="1"/>
    <col min="11784" max="11784" width="10.5703125" style="119" bestFit="1" customWidth="1"/>
    <col min="11785" max="11785" width="9.42578125" style="119" bestFit="1" customWidth="1"/>
    <col min="11786" max="12029" width="9.140625" style="119"/>
    <col min="12030" max="12030" width="33.7109375" style="119" customWidth="1"/>
    <col min="12031" max="12038" width="12.7109375" style="119" customWidth="1"/>
    <col min="12039" max="12039" width="8.42578125" style="119" bestFit="1" customWidth="1"/>
    <col min="12040" max="12040" width="10.5703125" style="119" bestFit="1" customWidth="1"/>
    <col min="12041" max="12041" width="9.42578125" style="119" bestFit="1" customWidth="1"/>
    <col min="12042" max="12285" width="9.140625" style="119"/>
    <col min="12286" max="12286" width="33.7109375" style="119" customWidth="1"/>
    <col min="12287" max="12294" width="12.7109375" style="119" customWidth="1"/>
    <col min="12295" max="12295" width="8.42578125" style="119" bestFit="1" customWidth="1"/>
    <col min="12296" max="12296" width="10.5703125" style="119" bestFit="1" customWidth="1"/>
    <col min="12297" max="12297" width="9.42578125" style="119" bestFit="1" customWidth="1"/>
    <col min="12298" max="12541" width="9.140625" style="119"/>
    <col min="12542" max="12542" width="33.7109375" style="119" customWidth="1"/>
    <col min="12543" max="12550" width="12.7109375" style="119" customWidth="1"/>
    <col min="12551" max="12551" width="8.42578125" style="119" bestFit="1" customWidth="1"/>
    <col min="12552" max="12552" width="10.5703125" style="119" bestFit="1" customWidth="1"/>
    <col min="12553" max="12553" width="9.42578125" style="119" bestFit="1" customWidth="1"/>
    <col min="12554" max="12797" width="9.140625" style="119"/>
    <col min="12798" max="12798" width="33.7109375" style="119" customWidth="1"/>
    <col min="12799" max="12806" width="12.7109375" style="119" customWidth="1"/>
    <col min="12807" max="12807" width="8.42578125" style="119" bestFit="1" customWidth="1"/>
    <col min="12808" max="12808" width="10.5703125" style="119" bestFit="1" customWidth="1"/>
    <col min="12809" max="12809" width="9.42578125" style="119" bestFit="1" customWidth="1"/>
    <col min="12810" max="13053" width="9.140625" style="119"/>
    <col min="13054" max="13054" width="33.7109375" style="119" customWidth="1"/>
    <col min="13055" max="13062" width="12.7109375" style="119" customWidth="1"/>
    <col min="13063" max="13063" width="8.42578125" style="119" bestFit="1" customWidth="1"/>
    <col min="13064" max="13064" width="10.5703125" style="119" bestFit="1" customWidth="1"/>
    <col min="13065" max="13065" width="9.42578125" style="119" bestFit="1" customWidth="1"/>
    <col min="13066" max="13309" width="9.140625" style="119"/>
    <col min="13310" max="13310" width="33.7109375" style="119" customWidth="1"/>
    <col min="13311" max="13318" width="12.7109375" style="119" customWidth="1"/>
    <col min="13319" max="13319" width="8.42578125" style="119" bestFit="1" customWidth="1"/>
    <col min="13320" max="13320" width="10.5703125" style="119" bestFit="1" customWidth="1"/>
    <col min="13321" max="13321" width="9.42578125" style="119" bestFit="1" customWidth="1"/>
    <col min="13322" max="13565" width="9.140625" style="119"/>
    <col min="13566" max="13566" width="33.7109375" style="119" customWidth="1"/>
    <col min="13567" max="13574" width="12.7109375" style="119" customWidth="1"/>
    <col min="13575" max="13575" width="8.42578125" style="119" bestFit="1" customWidth="1"/>
    <col min="13576" max="13576" width="10.5703125" style="119" bestFit="1" customWidth="1"/>
    <col min="13577" max="13577" width="9.42578125" style="119" bestFit="1" customWidth="1"/>
    <col min="13578" max="13821" width="9.140625" style="119"/>
    <col min="13822" max="13822" width="33.7109375" style="119" customWidth="1"/>
    <col min="13823" max="13830" width="12.7109375" style="119" customWidth="1"/>
    <col min="13831" max="13831" width="8.42578125" style="119" bestFit="1" customWidth="1"/>
    <col min="13832" max="13832" width="10.5703125" style="119" bestFit="1" customWidth="1"/>
    <col min="13833" max="13833" width="9.42578125" style="119" bestFit="1" customWidth="1"/>
    <col min="13834" max="14077" width="9.140625" style="119"/>
    <col min="14078" max="14078" width="33.7109375" style="119" customWidth="1"/>
    <col min="14079" max="14086" width="12.7109375" style="119" customWidth="1"/>
    <col min="14087" max="14087" width="8.42578125" style="119" bestFit="1" customWidth="1"/>
    <col min="14088" max="14088" width="10.5703125" style="119" bestFit="1" customWidth="1"/>
    <col min="14089" max="14089" width="9.42578125" style="119" bestFit="1" customWidth="1"/>
    <col min="14090" max="14333" width="9.140625" style="119"/>
    <col min="14334" max="14334" width="33.7109375" style="119" customWidth="1"/>
    <col min="14335" max="14342" width="12.7109375" style="119" customWidth="1"/>
    <col min="14343" max="14343" width="8.42578125" style="119" bestFit="1" customWidth="1"/>
    <col min="14344" max="14344" width="10.5703125" style="119" bestFit="1" customWidth="1"/>
    <col min="14345" max="14345" width="9.42578125" style="119" bestFit="1" customWidth="1"/>
    <col min="14346" max="14589" width="9.140625" style="119"/>
    <col min="14590" max="14590" width="33.7109375" style="119" customWidth="1"/>
    <col min="14591" max="14598" width="12.7109375" style="119" customWidth="1"/>
    <col min="14599" max="14599" width="8.42578125" style="119" bestFit="1" customWidth="1"/>
    <col min="14600" max="14600" width="10.5703125" style="119" bestFit="1" customWidth="1"/>
    <col min="14601" max="14601" width="9.42578125" style="119" bestFit="1" customWidth="1"/>
    <col min="14602" max="14845" width="9.140625" style="119"/>
    <col min="14846" max="14846" width="33.7109375" style="119" customWidth="1"/>
    <col min="14847" max="14854" width="12.7109375" style="119" customWidth="1"/>
    <col min="14855" max="14855" width="8.42578125" style="119" bestFit="1" customWidth="1"/>
    <col min="14856" max="14856" width="10.5703125" style="119" bestFit="1" customWidth="1"/>
    <col min="14857" max="14857" width="9.42578125" style="119" bestFit="1" customWidth="1"/>
    <col min="14858" max="15101" width="9.140625" style="119"/>
    <col min="15102" max="15102" width="33.7109375" style="119" customWidth="1"/>
    <col min="15103" max="15110" width="12.7109375" style="119" customWidth="1"/>
    <col min="15111" max="15111" width="8.42578125" style="119" bestFit="1" customWidth="1"/>
    <col min="15112" max="15112" width="10.5703125" style="119" bestFit="1" customWidth="1"/>
    <col min="15113" max="15113" width="9.42578125" style="119" bestFit="1" customWidth="1"/>
    <col min="15114" max="15357" width="9.140625" style="119"/>
    <col min="15358" max="15358" width="33.7109375" style="119" customWidth="1"/>
    <col min="15359" max="15366" width="12.7109375" style="119" customWidth="1"/>
    <col min="15367" max="15367" width="8.42578125" style="119" bestFit="1" customWidth="1"/>
    <col min="15368" max="15368" width="10.5703125" style="119" bestFit="1" customWidth="1"/>
    <col min="15369" max="15369" width="9.42578125" style="119" bestFit="1" customWidth="1"/>
    <col min="15370" max="15613" width="9.140625" style="119"/>
    <col min="15614" max="15614" width="33.7109375" style="119" customWidth="1"/>
    <col min="15615" max="15622" width="12.7109375" style="119" customWidth="1"/>
    <col min="15623" max="15623" width="8.42578125" style="119" bestFit="1" customWidth="1"/>
    <col min="15624" max="15624" width="10.5703125" style="119" bestFit="1" customWidth="1"/>
    <col min="15625" max="15625" width="9.42578125" style="119" bestFit="1" customWidth="1"/>
    <col min="15626" max="15869" width="9.140625" style="119"/>
    <col min="15870" max="15870" width="33.7109375" style="119" customWidth="1"/>
    <col min="15871" max="15878" width="12.7109375" style="119" customWidth="1"/>
    <col min="15879" max="15879" width="8.42578125" style="119" bestFit="1" customWidth="1"/>
    <col min="15880" max="15880" width="10.5703125" style="119" bestFit="1" customWidth="1"/>
    <col min="15881" max="15881" width="9.42578125" style="119" bestFit="1" customWidth="1"/>
    <col min="15882" max="16125" width="9.140625" style="119"/>
    <col min="16126" max="16126" width="33.7109375" style="119" customWidth="1"/>
    <col min="16127" max="16134" width="12.7109375" style="119" customWidth="1"/>
    <col min="16135" max="16135" width="8.42578125" style="119" bestFit="1" customWidth="1"/>
    <col min="16136" max="16136" width="10.5703125" style="119" bestFit="1" customWidth="1"/>
    <col min="16137" max="16137" width="9.42578125" style="119" bestFit="1" customWidth="1"/>
    <col min="16138" max="16384" width="9.140625" style="119"/>
  </cols>
  <sheetData>
    <row r="1" spans="1:17" ht="14.25" customHeight="1">
      <c r="A1" s="1107" t="s">
        <v>480</v>
      </c>
      <c r="B1" s="1108"/>
      <c r="C1" s="1108"/>
      <c r="D1" s="1108"/>
      <c r="E1" s="1108"/>
      <c r="F1" s="1108"/>
      <c r="G1" s="1108"/>
      <c r="H1" s="1108"/>
      <c r="I1" s="1108"/>
      <c r="J1" s="1109"/>
    </row>
    <row r="2" spans="1:17" ht="14.25" customHeight="1">
      <c r="A2" s="951" t="s">
        <v>292</v>
      </c>
      <c r="B2" s="952">
        <v>0.1</v>
      </c>
      <c r="C2" s="953"/>
      <c r="D2" s="953"/>
      <c r="E2" s="953"/>
      <c r="F2" s="953"/>
      <c r="G2" s="953"/>
      <c r="H2" s="953"/>
      <c r="I2" s="953"/>
      <c r="J2" s="954"/>
    </row>
    <row r="3" spans="1:17" ht="14.25" customHeight="1">
      <c r="A3" s="851" t="s">
        <v>293</v>
      </c>
      <c r="B3" s="953"/>
      <c r="C3" s="953"/>
      <c r="D3" s="953"/>
      <c r="E3" s="953"/>
      <c r="F3" s="953"/>
      <c r="G3" s="953"/>
      <c r="H3" s="953"/>
      <c r="I3" s="953"/>
      <c r="J3" s="954"/>
    </row>
    <row r="4" spans="1:17" ht="14.25" customHeight="1">
      <c r="A4" s="505" t="s">
        <v>294</v>
      </c>
      <c r="B4" s="134" t="s">
        <v>261</v>
      </c>
      <c r="C4" s="134" t="s">
        <v>262</v>
      </c>
      <c r="D4" s="134" t="s">
        <v>263</v>
      </c>
      <c r="E4" s="134" t="s">
        <v>264</v>
      </c>
      <c r="F4" s="134" t="s">
        <v>265</v>
      </c>
      <c r="G4" s="134" t="s">
        <v>266</v>
      </c>
      <c r="H4" s="134" t="s">
        <v>267</v>
      </c>
      <c r="I4" s="134" t="s">
        <v>268</v>
      </c>
      <c r="J4" s="508" t="s">
        <v>269</v>
      </c>
      <c r="P4" s="135"/>
      <c r="Q4" s="135"/>
    </row>
    <row r="5" spans="1:17" ht="14.25" customHeight="1">
      <c r="A5" s="955" t="s">
        <v>295</v>
      </c>
      <c r="B5" s="146">
        <f>' Means of Fin'!C4</f>
        <v>4540.0876378559997</v>
      </c>
      <c r="C5" s="146">
        <f>B5-B7</f>
        <v>4540.0876378559997</v>
      </c>
      <c r="D5" s="146">
        <f t="shared" ref="D5:J5" si="0">+C6-C8</f>
        <v>3934.7426194751997</v>
      </c>
      <c r="E5" s="146">
        <f t="shared" si="0"/>
        <v>3329.3976010943998</v>
      </c>
      <c r="F5" s="146">
        <f t="shared" si="0"/>
        <v>2724.0525827135998</v>
      </c>
      <c r="G5" s="146">
        <f t="shared" si="0"/>
        <v>2118.7075643327998</v>
      </c>
      <c r="H5" s="146">
        <f t="shared" si="0"/>
        <v>1513.3625459519999</v>
      </c>
      <c r="I5" s="146">
        <f t="shared" si="0"/>
        <v>908.01752757119993</v>
      </c>
      <c r="J5" s="527">
        <f t="shared" si="0"/>
        <v>302.67250919039998</v>
      </c>
      <c r="K5" s="139"/>
      <c r="L5" s="140"/>
      <c r="M5" s="140"/>
      <c r="N5" s="141"/>
      <c r="O5" s="141"/>
      <c r="P5" s="138"/>
    </row>
    <row r="6" spans="1:17" ht="14.25" customHeight="1">
      <c r="A6" s="956"/>
      <c r="B6" s="146"/>
      <c r="C6" s="146">
        <f t="shared" ref="C6:J6" si="1">+C5-C7</f>
        <v>4237.4151286655997</v>
      </c>
      <c r="D6" s="146">
        <f t="shared" si="1"/>
        <v>3632.0701102847997</v>
      </c>
      <c r="E6" s="146">
        <f t="shared" si="1"/>
        <v>3026.7250919039998</v>
      </c>
      <c r="F6" s="146">
        <f t="shared" si="1"/>
        <v>2421.3800735231998</v>
      </c>
      <c r="G6" s="146">
        <f t="shared" si="1"/>
        <v>1816.0350551423999</v>
      </c>
      <c r="H6" s="146">
        <f t="shared" si="1"/>
        <v>1210.6900367615999</v>
      </c>
      <c r="I6" s="146">
        <f t="shared" si="1"/>
        <v>605.34501838079996</v>
      </c>
      <c r="J6" s="527">
        <f t="shared" si="1"/>
        <v>0</v>
      </c>
      <c r="L6" s="139"/>
      <c r="M6" s="139"/>
      <c r="N6" s="139"/>
      <c r="O6" s="139"/>
      <c r="P6" s="138"/>
    </row>
    <row r="7" spans="1:17" ht="14.25" customHeight="1">
      <c r="A7" s="1139" t="s">
        <v>296</v>
      </c>
      <c r="B7" s="146">
        <v>0</v>
      </c>
      <c r="C7" s="146">
        <f>+$B$5/15</f>
        <v>302.67250919039998</v>
      </c>
      <c r="D7" s="146">
        <f t="shared" ref="D7:I8" si="2">+$B$5/15</f>
        <v>302.67250919039998</v>
      </c>
      <c r="E7" s="146">
        <f t="shared" si="2"/>
        <v>302.67250919039998</v>
      </c>
      <c r="F7" s="146">
        <f t="shared" si="2"/>
        <v>302.67250919039998</v>
      </c>
      <c r="G7" s="146">
        <f t="shared" si="2"/>
        <v>302.67250919039998</v>
      </c>
      <c r="H7" s="146">
        <f t="shared" si="2"/>
        <v>302.67250919039998</v>
      </c>
      <c r="I7" s="146">
        <f t="shared" si="2"/>
        <v>302.67250919039998</v>
      </c>
      <c r="J7" s="527">
        <f>+$B$5/15</f>
        <v>302.67250919039998</v>
      </c>
      <c r="K7" s="141"/>
      <c r="L7" s="139"/>
      <c r="M7" s="139"/>
      <c r="N7" s="139"/>
      <c r="O7" s="139"/>
      <c r="P7" s="138"/>
    </row>
    <row r="8" spans="1:17" ht="14.25" customHeight="1">
      <c r="A8" s="1139"/>
      <c r="B8" s="146">
        <v>0</v>
      </c>
      <c r="C8" s="146">
        <f>+$B$5/15</f>
        <v>302.67250919039998</v>
      </c>
      <c r="D8" s="146">
        <f t="shared" si="2"/>
        <v>302.67250919039998</v>
      </c>
      <c r="E8" s="146">
        <f t="shared" si="2"/>
        <v>302.67250919039998</v>
      </c>
      <c r="F8" s="146">
        <f t="shared" si="2"/>
        <v>302.67250919039998</v>
      </c>
      <c r="G8" s="146">
        <f t="shared" si="2"/>
        <v>302.67250919039998</v>
      </c>
      <c r="H8" s="146">
        <f t="shared" si="2"/>
        <v>302.67250919039998</v>
      </c>
      <c r="I8" s="146">
        <f t="shared" si="2"/>
        <v>302.67250919039998</v>
      </c>
      <c r="J8" s="527">
        <f>+$B$5/15</f>
        <v>302.67250919039998</v>
      </c>
      <c r="L8" s="139"/>
      <c r="M8" s="139"/>
      <c r="N8" s="139"/>
      <c r="O8" s="139"/>
      <c r="P8" s="138"/>
    </row>
    <row r="9" spans="1:17" ht="14.25" customHeight="1">
      <c r="A9" s="955" t="s">
        <v>297</v>
      </c>
      <c r="B9" s="146">
        <f t="shared" ref="B9:J9" si="3">SUM(B7:B8)</f>
        <v>0</v>
      </c>
      <c r="C9" s="146">
        <f t="shared" si="3"/>
        <v>605.34501838079996</v>
      </c>
      <c r="D9" s="146">
        <f t="shared" si="3"/>
        <v>605.34501838079996</v>
      </c>
      <c r="E9" s="146">
        <f t="shared" si="3"/>
        <v>605.34501838079996</v>
      </c>
      <c r="F9" s="146">
        <f t="shared" si="3"/>
        <v>605.34501838079996</v>
      </c>
      <c r="G9" s="146">
        <f t="shared" si="3"/>
        <v>605.34501838079996</v>
      </c>
      <c r="H9" s="146">
        <f t="shared" si="3"/>
        <v>605.34501838079996</v>
      </c>
      <c r="I9" s="146">
        <f t="shared" si="3"/>
        <v>605.34501838079996</v>
      </c>
      <c r="J9" s="527">
        <f t="shared" si="3"/>
        <v>605.34501838079996</v>
      </c>
      <c r="L9" s="139"/>
      <c r="M9" s="139"/>
      <c r="N9" s="139"/>
      <c r="O9" s="139"/>
      <c r="P9" s="138"/>
    </row>
    <row r="10" spans="1:17" ht="14.25" customHeight="1">
      <c r="A10" s="1139" t="s">
        <v>298</v>
      </c>
      <c r="B10" s="146">
        <f>+B$5*B$2/2</f>
        <v>227.00438189279998</v>
      </c>
      <c r="C10" s="146">
        <f>+C5*$B$2/2</f>
        <v>227.00438189279998</v>
      </c>
      <c r="D10" s="146">
        <f>+D5*$B$2/2</f>
        <v>196.73713097376</v>
      </c>
      <c r="E10" s="146">
        <f>+E5*$B$2/2</f>
        <v>166.46988005471999</v>
      </c>
      <c r="F10" s="146">
        <f t="shared" ref="C10:J11" si="4">+F5*$B$2/2</f>
        <v>136.20262913567998</v>
      </c>
      <c r="G10" s="146">
        <f t="shared" si="4"/>
        <v>105.93537821664</v>
      </c>
      <c r="H10" s="146">
        <f t="shared" si="4"/>
        <v>75.668127297599995</v>
      </c>
      <c r="I10" s="146">
        <f t="shared" si="4"/>
        <v>45.40087637856</v>
      </c>
      <c r="J10" s="527">
        <f t="shared" si="4"/>
        <v>15.133625459519999</v>
      </c>
      <c r="K10" s="142"/>
      <c r="L10" s="139"/>
      <c r="M10" s="139"/>
      <c r="N10" s="139"/>
      <c r="O10" s="139"/>
      <c r="P10" s="138"/>
    </row>
    <row r="11" spans="1:17" ht="14.25" customHeight="1">
      <c r="A11" s="1139"/>
      <c r="B11" s="146">
        <f>+B10</f>
        <v>227.00438189279998</v>
      </c>
      <c r="C11" s="146">
        <f t="shared" si="4"/>
        <v>211.87075643328001</v>
      </c>
      <c r="D11" s="146">
        <f t="shared" si="4"/>
        <v>181.60350551424</v>
      </c>
      <c r="E11" s="146">
        <f t="shared" si="4"/>
        <v>151.33625459519999</v>
      </c>
      <c r="F11" s="146">
        <f t="shared" si="4"/>
        <v>121.06900367615999</v>
      </c>
      <c r="G11" s="146">
        <f t="shared" si="4"/>
        <v>90.801752757119999</v>
      </c>
      <c r="H11" s="146">
        <f t="shared" si="4"/>
        <v>60.534501838079997</v>
      </c>
      <c r="I11" s="146">
        <f t="shared" si="4"/>
        <v>30.267250919039999</v>
      </c>
      <c r="J11" s="527">
        <f t="shared" si="4"/>
        <v>0</v>
      </c>
      <c r="K11" s="142"/>
      <c r="L11" s="139"/>
      <c r="M11" s="139"/>
      <c r="N11" s="139"/>
      <c r="O11" s="139"/>
      <c r="P11" s="138"/>
    </row>
    <row r="12" spans="1:17" ht="14.25" customHeight="1">
      <c r="A12" s="955" t="s">
        <v>299</v>
      </c>
      <c r="B12" s="929">
        <f>+B10+B11</f>
        <v>454.00876378559997</v>
      </c>
      <c r="C12" s="929">
        <f>+C10+C11</f>
        <v>438.87513832607999</v>
      </c>
      <c r="D12" s="929">
        <f>+D10+D11</f>
        <v>378.34063648799997</v>
      </c>
      <c r="E12" s="929">
        <f>+E10+E11</f>
        <v>317.80613464991995</v>
      </c>
      <c r="F12" s="929">
        <f>+F10+F11</f>
        <v>257.27163281183999</v>
      </c>
      <c r="G12" s="929">
        <f>+G10+12</f>
        <v>117.93537821664</v>
      </c>
      <c r="H12" s="929">
        <f>+H10+12</f>
        <v>87.668127297599995</v>
      </c>
      <c r="I12" s="929">
        <f>+I10+12</f>
        <v>57.40087637856</v>
      </c>
      <c r="J12" s="930">
        <f>+J10+12</f>
        <v>27.133625459519997</v>
      </c>
      <c r="K12" s="141"/>
      <c r="L12" s="139"/>
      <c r="M12" s="139"/>
      <c r="N12" s="139"/>
      <c r="O12" s="139"/>
      <c r="P12" s="138"/>
    </row>
    <row r="13" spans="1:17" ht="14.25" customHeight="1">
      <c r="A13" s="957"/>
      <c r="B13" s="143"/>
      <c r="C13" s="143"/>
      <c r="D13" s="143"/>
      <c r="E13" s="143"/>
      <c r="F13" s="143"/>
      <c r="G13" s="143"/>
      <c r="H13" s="143"/>
      <c r="I13" s="143"/>
      <c r="J13" s="958"/>
      <c r="K13" s="141"/>
      <c r="L13" s="139"/>
      <c r="M13" s="139"/>
      <c r="N13" s="139"/>
      <c r="O13" s="139"/>
      <c r="P13" s="138"/>
    </row>
    <row r="14" spans="1:17" ht="14.25" customHeight="1">
      <c r="A14" s="1136" t="s">
        <v>479</v>
      </c>
      <c r="B14" s="1137"/>
      <c r="C14" s="1137"/>
      <c r="D14" s="1137"/>
      <c r="E14" s="1137"/>
      <c r="F14" s="1137"/>
      <c r="G14" s="1137"/>
      <c r="H14" s="1137"/>
      <c r="I14" s="1137"/>
      <c r="J14" s="1138"/>
    </row>
    <row r="15" spans="1:17" ht="14.25" customHeight="1">
      <c r="A15" s="951" t="s">
        <v>292</v>
      </c>
      <c r="B15" s="952">
        <v>0.1</v>
      </c>
      <c r="C15" s="953"/>
      <c r="D15" s="953"/>
      <c r="E15" s="953"/>
      <c r="F15" s="953"/>
      <c r="G15" s="953"/>
      <c r="H15" s="953"/>
      <c r="I15" s="953"/>
      <c r="J15" s="954"/>
    </row>
    <row r="16" spans="1:17" ht="14.25" customHeight="1">
      <c r="A16" s="851" t="s">
        <v>293</v>
      </c>
      <c r="B16" s="953"/>
      <c r="C16" s="953"/>
      <c r="D16" s="953"/>
      <c r="E16" s="953"/>
      <c r="F16" s="953"/>
      <c r="G16" s="953"/>
      <c r="H16" s="953"/>
      <c r="I16" s="953"/>
      <c r="J16" s="954"/>
    </row>
    <row r="17" spans="1:10" ht="14.25" customHeight="1">
      <c r="A17" s="505" t="s">
        <v>294</v>
      </c>
      <c r="B17" s="134" t="s">
        <v>261</v>
      </c>
      <c r="C17" s="134" t="s">
        <v>262</v>
      </c>
      <c r="D17" s="134" t="s">
        <v>263</v>
      </c>
      <c r="E17" s="134" t="s">
        <v>264</v>
      </c>
      <c r="F17" s="134" t="s">
        <v>265</v>
      </c>
      <c r="G17" s="134" t="s">
        <v>266</v>
      </c>
      <c r="H17" s="134" t="s">
        <v>267</v>
      </c>
      <c r="I17" s="134" t="s">
        <v>268</v>
      </c>
      <c r="J17" s="508" t="s">
        <v>269</v>
      </c>
    </row>
    <row r="18" spans="1:10" ht="14.25" customHeight="1">
      <c r="A18" s="955" t="s">
        <v>295</v>
      </c>
      <c r="B18" s="146">
        <f>' Means of Fin'!C10</f>
        <v>3119.5873258559996</v>
      </c>
      <c r="C18" s="146">
        <f>B18-B20</f>
        <v>3119.5873258559996</v>
      </c>
      <c r="D18" s="146">
        <f t="shared" ref="D18:J18" si="5">+C19-C21</f>
        <v>2703.6423490751995</v>
      </c>
      <c r="E18" s="146">
        <f t="shared" si="5"/>
        <v>2287.6973722943994</v>
      </c>
      <c r="F18" s="146">
        <f t="shared" si="5"/>
        <v>1871.7523955135994</v>
      </c>
      <c r="G18" s="146">
        <f t="shared" si="5"/>
        <v>1455.8074187327993</v>
      </c>
      <c r="H18" s="146">
        <f t="shared" si="5"/>
        <v>1039.8624419519992</v>
      </c>
      <c r="I18" s="146">
        <f t="shared" si="5"/>
        <v>623.91746517119918</v>
      </c>
      <c r="J18" s="527">
        <f t="shared" si="5"/>
        <v>207.97248839039923</v>
      </c>
    </row>
    <row r="19" spans="1:10" ht="14.25" customHeight="1">
      <c r="A19" s="956"/>
      <c r="B19" s="146"/>
      <c r="C19" s="146">
        <f t="shared" ref="C19:G19" si="6">+C18-C20</f>
        <v>2911.6148374655995</v>
      </c>
      <c r="D19" s="146">
        <f t="shared" si="6"/>
        <v>2495.6698606847995</v>
      </c>
      <c r="E19" s="146">
        <f t="shared" si="6"/>
        <v>2079.7248839039994</v>
      </c>
      <c r="F19" s="146">
        <f t="shared" si="6"/>
        <v>1663.7799071231993</v>
      </c>
      <c r="G19" s="146">
        <f t="shared" si="6"/>
        <v>1247.8349303423993</v>
      </c>
      <c r="H19" s="146">
        <f t="shared" ref="H19" si="7">+H18-H20</f>
        <v>831.88995356159921</v>
      </c>
      <c r="I19" s="146">
        <f t="shared" ref="I19" si="8">+I18-I20</f>
        <v>415.94497678079921</v>
      </c>
      <c r="J19" s="527">
        <f t="shared" ref="J19" si="9">+J18-J20</f>
        <v>-7.3896444519050419E-13</v>
      </c>
    </row>
    <row r="20" spans="1:10" ht="14.25" customHeight="1">
      <c r="A20" s="1139" t="s">
        <v>296</v>
      </c>
      <c r="B20" s="146">
        <v>0</v>
      </c>
      <c r="C20" s="146">
        <f>+B18/15</f>
        <v>207.97248839039997</v>
      </c>
      <c r="D20" s="146">
        <f>+$B$18/15</f>
        <v>207.97248839039997</v>
      </c>
      <c r="E20" s="146">
        <f t="shared" ref="E20:J21" si="10">+$B$18/15</f>
        <v>207.97248839039997</v>
      </c>
      <c r="F20" s="146">
        <f t="shared" si="10"/>
        <v>207.97248839039997</v>
      </c>
      <c r="G20" s="146">
        <f t="shared" si="10"/>
        <v>207.97248839039997</v>
      </c>
      <c r="H20" s="146">
        <f t="shared" si="10"/>
        <v>207.97248839039997</v>
      </c>
      <c r="I20" s="146">
        <f t="shared" si="10"/>
        <v>207.97248839039997</v>
      </c>
      <c r="J20" s="527">
        <f t="shared" si="10"/>
        <v>207.97248839039997</v>
      </c>
    </row>
    <row r="21" spans="1:10" ht="14.25" customHeight="1">
      <c r="A21" s="1139"/>
      <c r="B21" s="146">
        <v>0</v>
      </c>
      <c r="C21" s="146">
        <f>+$B$18/15</f>
        <v>207.97248839039997</v>
      </c>
      <c r="D21" s="146">
        <f t="shared" ref="D21" si="11">+$B$18/15</f>
        <v>207.97248839039997</v>
      </c>
      <c r="E21" s="146">
        <f t="shared" si="10"/>
        <v>207.97248839039997</v>
      </c>
      <c r="F21" s="146">
        <f t="shared" si="10"/>
        <v>207.97248839039997</v>
      </c>
      <c r="G21" s="146">
        <f t="shared" si="10"/>
        <v>207.97248839039997</v>
      </c>
      <c r="H21" s="146">
        <f t="shared" si="10"/>
        <v>207.97248839039997</v>
      </c>
      <c r="I21" s="146">
        <f t="shared" si="10"/>
        <v>207.97248839039997</v>
      </c>
      <c r="J21" s="527">
        <f t="shared" si="10"/>
        <v>207.97248839039997</v>
      </c>
    </row>
    <row r="22" spans="1:10" ht="14.25" customHeight="1">
      <c r="A22" s="955" t="s">
        <v>297</v>
      </c>
      <c r="B22" s="146">
        <f t="shared" ref="B22:J22" si="12">SUM(B20:B21)</f>
        <v>0</v>
      </c>
      <c r="C22" s="146">
        <f t="shared" si="12"/>
        <v>415.94497678079995</v>
      </c>
      <c r="D22" s="146">
        <f t="shared" si="12"/>
        <v>415.94497678079995</v>
      </c>
      <c r="E22" s="146">
        <f t="shared" si="12"/>
        <v>415.94497678079995</v>
      </c>
      <c r="F22" s="146">
        <f t="shared" si="12"/>
        <v>415.94497678079995</v>
      </c>
      <c r="G22" s="146">
        <f t="shared" si="12"/>
        <v>415.94497678079995</v>
      </c>
      <c r="H22" s="146">
        <f t="shared" si="12"/>
        <v>415.94497678079995</v>
      </c>
      <c r="I22" s="146">
        <f t="shared" si="12"/>
        <v>415.94497678079995</v>
      </c>
      <c r="J22" s="527">
        <f t="shared" si="12"/>
        <v>415.94497678079995</v>
      </c>
    </row>
    <row r="23" spans="1:10" ht="14.25" customHeight="1">
      <c r="A23" s="1139" t="s">
        <v>298</v>
      </c>
      <c r="B23" s="146">
        <f>+B18*B$2/2</f>
        <v>155.97936629279999</v>
      </c>
      <c r="C23" s="146">
        <f>+C18*$B$2/2</f>
        <v>155.97936629279999</v>
      </c>
      <c r="D23" s="146">
        <f t="shared" ref="D23:J23" si="13">+D18*$B$2/2</f>
        <v>135.18211745375999</v>
      </c>
      <c r="E23" s="146">
        <f t="shared" si="13"/>
        <v>114.38486861471998</v>
      </c>
      <c r="F23" s="146">
        <f t="shared" si="13"/>
        <v>93.587619775679968</v>
      </c>
      <c r="G23" s="146">
        <f t="shared" si="13"/>
        <v>72.790370936639974</v>
      </c>
      <c r="H23" s="146">
        <f t="shared" si="13"/>
        <v>51.993122097599965</v>
      </c>
      <c r="I23" s="146">
        <f t="shared" si="13"/>
        <v>31.19587325855996</v>
      </c>
      <c r="J23" s="527">
        <f t="shared" si="13"/>
        <v>10.398624419519962</v>
      </c>
    </row>
    <row r="24" spans="1:10" ht="14.25" customHeight="1">
      <c r="A24" s="1139"/>
      <c r="B24" s="146">
        <f>+B23</f>
        <v>155.97936629279999</v>
      </c>
      <c r="C24" s="146">
        <f t="shared" ref="C24:J24" si="14">+C19*$B$2/2</f>
        <v>145.58074187327998</v>
      </c>
      <c r="D24" s="146">
        <f>+D19*$B$2/2</f>
        <v>124.78349303423998</v>
      </c>
      <c r="E24" s="146">
        <f t="shared" si="14"/>
        <v>103.98624419519997</v>
      </c>
      <c r="F24" s="146">
        <f t="shared" si="14"/>
        <v>83.188995356159978</v>
      </c>
      <c r="G24" s="146">
        <f t="shared" si="14"/>
        <v>62.391746517119969</v>
      </c>
      <c r="H24" s="146">
        <f t="shared" si="14"/>
        <v>41.594497678079961</v>
      </c>
      <c r="I24" s="146">
        <f t="shared" si="14"/>
        <v>20.797248839039963</v>
      </c>
      <c r="J24" s="527">
        <f t="shared" si="14"/>
        <v>-3.6948222259525211E-14</v>
      </c>
    </row>
    <row r="25" spans="1:10" ht="14.25" customHeight="1">
      <c r="A25" s="955" t="s">
        <v>299</v>
      </c>
      <c r="B25" s="929">
        <f>+B23+B24</f>
        <v>311.95873258559999</v>
      </c>
      <c r="C25" s="929">
        <f>+C23+C24</f>
        <v>301.56010816608</v>
      </c>
      <c r="D25" s="929">
        <f>+D23+D24</f>
        <v>259.96561048799998</v>
      </c>
      <c r="E25" s="929">
        <f>+E23+E24</f>
        <v>218.37111280991996</v>
      </c>
      <c r="F25" s="929">
        <f>+F23+F24</f>
        <v>176.77661513183995</v>
      </c>
      <c r="G25" s="929">
        <f>+G23+12</f>
        <v>84.790370936639974</v>
      </c>
      <c r="H25" s="929">
        <f>+H23+12</f>
        <v>63.993122097599965</v>
      </c>
      <c r="I25" s="929">
        <f>+I23+12</f>
        <v>43.195873258559956</v>
      </c>
      <c r="J25" s="930">
        <f>+J23+12</f>
        <v>22.398624419519962</v>
      </c>
    </row>
    <row r="26" spans="1:10" ht="14.25" customHeight="1">
      <c r="A26" s="1136" t="s">
        <v>572</v>
      </c>
      <c r="B26" s="1137"/>
      <c r="C26" s="1137"/>
      <c r="D26" s="1137"/>
      <c r="E26" s="1137"/>
      <c r="F26" s="1137"/>
      <c r="G26" s="1137"/>
      <c r="H26" s="1137"/>
      <c r="I26" s="1137"/>
      <c r="J26" s="1138"/>
    </row>
    <row r="27" spans="1:10" ht="14.25" customHeight="1">
      <c r="A27" s="951" t="s">
        <v>292</v>
      </c>
      <c r="B27" s="952">
        <v>0.1</v>
      </c>
      <c r="C27" s="959"/>
      <c r="D27" s="959"/>
      <c r="E27" s="959"/>
      <c r="F27" s="959"/>
      <c r="G27" s="959"/>
      <c r="H27" s="959"/>
      <c r="I27" s="959"/>
      <c r="J27" s="960"/>
    </row>
    <row r="28" spans="1:10" ht="14.25" customHeight="1">
      <c r="A28" s="505" t="s">
        <v>294</v>
      </c>
      <c r="B28" s="134" t="s">
        <v>261</v>
      </c>
      <c r="C28" s="134" t="s">
        <v>262</v>
      </c>
      <c r="D28" s="134" t="s">
        <v>263</v>
      </c>
      <c r="E28" s="134" t="s">
        <v>264</v>
      </c>
      <c r="F28" s="134" t="s">
        <v>265</v>
      </c>
      <c r="G28" s="134" t="s">
        <v>266</v>
      </c>
      <c r="H28" s="134" t="s">
        <v>267</v>
      </c>
      <c r="I28" s="134" t="s">
        <v>268</v>
      </c>
      <c r="J28" s="508" t="s">
        <v>269</v>
      </c>
    </row>
    <row r="29" spans="1:10" ht="14.25" customHeight="1">
      <c r="A29" s="955" t="s">
        <v>295</v>
      </c>
      <c r="B29" s="146">
        <f>' Means of Fin'!C14</f>
        <v>6223.5935758559999</v>
      </c>
      <c r="C29" s="146">
        <f>B29-B31</f>
        <v>6223.5935758559999</v>
      </c>
      <c r="D29" s="146">
        <f t="shared" ref="D29" si="15">+C30-C32</f>
        <v>5393.7810990751996</v>
      </c>
      <c r="E29" s="146">
        <f t="shared" ref="E29" si="16">+D30-D32</f>
        <v>4563.9686222943992</v>
      </c>
      <c r="F29" s="146">
        <f t="shared" ref="F29" si="17">+E30-E32</f>
        <v>3734.1561455135989</v>
      </c>
      <c r="G29" s="146">
        <f t="shared" ref="G29" si="18">+F30-F32</f>
        <v>2904.3436687327985</v>
      </c>
      <c r="H29" s="146">
        <f t="shared" ref="H29" si="19">+G30-G32</f>
        <v>2074.5311919519982</v>
      </c>
      <c r="I29" s="146">
        <f t="shared" ref="I29" si="20">+H30-H32</f>
        <v>1244.7187151711983</v>
      </c>
      <c r="J29" s="527">
        <f t="shared" ref="J29" si="21">+I30-I32</f>
        <v>414.9062383903983</v>
      </c>
    </row>
    <row r="30" spans="1:10" ht="14.25" customHeight="1">
      <c r="A30" s="956"/>
      <c r="B30" s="146"/>
      <c r="C30" s="146">
        <f t="shared" ref="C30:J30" si="22">+C29-C31</f>
        <v>5808.6873374655997</v>
      </c>
      <c r="D30" s="146">
        <f t="shared" si="22"/>
        <v>4978.8748606847994</v>
      </c>
      <c r="E30" s="146">
        <f t="shared" si="22"/>
        <v>4149.062383903999</v>
      </c>
      <c r="F30" s="146">
        <f t="shared" si="22"/>
        <v>3319.2499071231987</v>
      </c>
      <c r="G30" s="146">
        <f t="shared" si="22"/>
        <v>2489.4374303423983</v>
      </c>
      <c r="H30" s="146">
        <f t="shared" si="22"/>
        <v>1659.6249535615982</v>
      </c>
      <c r="I30" s="146">
        <f t="shared" si="22"/>
        <v>829.81247678079831</v>
      </c>
      <c r="J30" s="527">
        <f t="shared" si="22"/>
        <v>-1.7053025658242404E-12</v>
      </c>
    </row>
    <row r="31" spans="1:10" ht="14.25" customHeight="1">
      <c r="A31" s="1139" t="s">
        <v>296</v>
      </c>
      <c r="B31" s="146">
        <v>0</v>
      </c>
      <c r="C31" s="146">
        <f>+B29/15</f>
        <v>414.90623839040001</v>
      </c>
      <c r="D31" s="146">
        <f>+$B$29/15</f>
        <v>414.90623839040001</v>
      </c>
      <c r="E31" s="146">
        <f t="shared" ref="E31:J32" si="23">+$B$29/15</f>
        <v>414.90623839040001</v>
      </c>
      <c r="F31" s="146">
        <f t="shared" si="23"/>
        <v>414.90623839040001</v>
      </c>
      <c r="G31" s="146">
        <f t="shared" si="23"/>
        <v>414.90623839040001</v>
      </c>
      <c r="H31" s="146">
        <f t="shared" si="23"/>
        <v>414.90623839040001</v>
      </c>
      <c r="I31" s="146">
        <f t="shared" si="23"/>
        <v>414.90623839040001</v>
      </c>
      <c r="J31" s="527">
        <f t="shared" si="23"/>
        <v>414.90623839040001</v>
      </c>
    </row>
    <row r="32" spans="1:10" ht="14.25" customHeight="1">
      <c r="A32" s="1139"/>
      <c r="B32" s="146">
        <v>0</v>
      </c>
      <c r="C32" s="146">
        <f>+$B$29/15</f>
        <v>414.90623839040001</v>
      </c>
      <c r="D32" s="146">
        <f t="shared" ref="D32" si="24">+$B$29/15</f>
        <v>414.90623839040001</v>
      </c>
      <c r="E32" s="146">
        <f t="shared" si="23"/>
        <v>414.90623839040001</v>
      </c>
      <c r="F32" s="146">
        <f t="shared" si="23"/>
        <v>414.90623839040001</v>
      </c>
      <c r="G32" s="146">
        <f t="shared" si="23"/>
        <v>414.90623839040001</v>
      </c>
      <c r="H32" s="146">
        <f t="shared" si="23"/>
        <v>414.90623839040001</v>
      </c>
      <c r="I32" s="146">
        <f t="shared" si="23"/>
        <v>414.90623839040001</v>
      </c>
      <c r="J32" s="527">
        <f t="shared" si="23"/>
        <v>414.90623839040001</v>
      </c>
    </row>
    <row r="33" spans="1:10" ht="14.25" customHeight="1">
      <c r="A33" s="955" t="s">
        <v>297</v>
      </c>
      <c r="B33" s="146">
        <f t="shared" ref="B33:J33" si="25">SUM(B31:B32)</f>
        <v>0</v>
      </c>
      <c r="C33" s="146">
        <f t="shared" si="25"/>
        <v>829.81247678080001</v>
      </c>
      <c r="D33" s="146">
        <f t="shared" si="25"/>
        <v>829.81247678080001</v>
      </c>
      <c r="E33" s="146">
        <f t="shared" si="25"/>
        <v>829.81247678080001</v>
      </c>
      <c r="F33" s="146">
        <f t="shared" si="25"/>
        <v>829.81247678080001</v>
      </c>
      <c r="G33" s="146">
        <f t="shared" si="25"/>
        <v>829.81247678080001</v>
      </c>
      <c r="H33" s="146">
        <f t="shared" si="25"/>
        <v>829.81247678080001</v>
      </c>
      <c r="I33" s="146">
        <f t="shared" si="25"/>
        <v>829.81247678080001</v>
      </c>
      <c r="J33" s="527">
        <f t="shared" si="25"/>
        <v>829.81247678080001</v>
      </c>
    </row>
    <row r="34" spans="1:10" ht="14.25" customHeight="1">
      <c r="A34" s="1139" t="s">
        <v>298</v>
      </c>
      <c r="B34" s="146">
        <f>+B29*B$2/2</f>
        <v>311.17967879280002</v>
      </c>
      <c r="C34" s="146">
        <f>+C29*$B$2/2</f>
        <v>311.17967879280002</v>
      </c>
      <c r="D34" s="146">
        <f>+D29*$B$2/2</f>
        <v>269.68905495375998</v>
      </c>
      <c r="E34" s="146">
        <f t="shared" ref="E34:J34" si="26">+E29*$B$2/2</f>
        <v>228.19843111471997</v>
      </c>
      <c r="F34" s="146">
        <f t="shared" si="26"/>
        <v>186.70780727567995</v>
      </c>
      <c r="G34" s="146">
        <f t="shared" si="26"/>
        <v>145.21718343663994</v>
      </c>
      <c r="H34" s="146">
        <f t="shared" si="26"/>
        <v>103.72655959759992</v>
      </c>
      <c r="I34" s="146">
        <f t="shared" si="26"/>
        <v>62.235935758559918</v>
      </c>
      <c r="J34" s="527">
        <f t="shared" si="26"/>
        <v>20.745311919519917</v>
      </c>
    </row>
    <row r="35" spans="1:10" ht="14.25" customHeight="1">
      <c r="A35" s="1139"/>
      <c r="B35" s="146">
        <f>+B34</f>
        <v>311.17967879280002</v>
      </c>
      <c r="C35" s="146">
        <f>+C30*$B$2/2</f>
        <v>290.43436687328</v>
      </c>
      <c r="D35" s="146">
        <f>+D30*$B$2/2</f>
        <v>248.94374303423999</v>
      </c>
      <c r="E35" s="146">
        <f>+E30*$B$2/2</f>
        <v>207.45311919519997</v>
      </c>
      <c r="F35" s="146">
        <f t="shared" ref="F35:J35" si="27">+F30*$B$2/2</f>
        <v>165.96249535615993</v>
      </c>
      <c r="G35" s="146">
        <f t="shared" si="27"/>
        <v>124.47187151711992</v>
      </c>
      <c r="H35" s="146">
        <f t="shared" si="27"/>
        <v>82.98124767807991</v>
      </c>
      <c r="I35" s="146">
        <f t="shared" si="27"/>
        <v>41.49062383903992</v>
      </c>
      <c r="J35" s="527">
        <f t="shared" si="27"/>
        <v>-8.5265128291212022E-14</v>
      </c>
    </row>
    <row r="36" spans="1:10" ht="14.25" customHeight="1">
      <c r="A36" s="961" t="s">
        <v>299</v>
      </c>
      <c r="B36" s="931">
        <f>+B34+B35</f>
        <v>622.35935758560004</v>
      </c>
      <c r="C36" s="931">
        <f>+C34+C35</f>
        <v>601.61404566608007</v>
      </c>
      <c r="D36" s="931">
        <f>+D34+D35</f>
        <v>518.63279798799999</v>
      </c>
      <c r="E36" s="931">
        <f>+E34+E35</f>
        <v>435.65155030991991</v>
      </c>
      <c r="F36" s="931">
        <f>+F34+F35</f>
        <v>352.67030263183989</v>
      </c>
      <c r="G36" s="931">
        <f>+G34+12</f>
        <v>157.21718343663994</v>
      </c>
      <c r="H36" s="931">
        <f>+H34+12</f>
        <v>115.72655959759992</v>
      </c>
      <c r="I36" s="931">
        <f>+I34+12</f>
        <v>74.235935758559918</v>
      </c>
      <c r="J36" s="962">
        <f>+J34+12</f>
        <v>32.745311919519921</v>
      </c>
    </row>
    <row r="37" spans="1:10" ht="14.25" customHeight="1">
      <c r="A37" s="847"/>
      <c r="B37" s="146"/>
      <c r="C37" s="146"/>
      <c r="D37" s="146"/>
      <c r="E37" s="146"/>
      <c r="F37" s="146"/>
      <c r="G37" s="146"/>
      <c r="H37" s="146"/>
      <c r="I37" s="146"/>
      <c r="J37" s="146"/>
    </row>
    <row r="38" spans="1:10" ht="25.5" customHeight="1"/>
    <row r="39" spans="1:10" ht="15">
      <c r="A39" s="144"/>
      <c r="B39" s="144"/>
      <c r="C39" s="144"/>
      <c r="D39" s="144"/>
      <c r="E39" s="144"/>
      <c r="F39" s="143"/>
      <c r="G39" s="143"/>
      <c r="H39" s="143"/>
      <c r="I39" s="143"/>
    </row>
    <row r="40" spans="1:10" ht="15">
      <c r="A40" s="144"/>
      <c r="B40" s="144"/>
      <c r="C40" s="144"/>
      <c r="D40" s="144"/>
      <c r="E40" s="144"/>
      <c r="F40" s="143"/>
      <c r="G40" s="143"/>
      <c r="H40" s="143"/>
      <c r="I40" s="143"/>
    </row>
    <row r="41" spans="1:10" ht="15">
      <c r="A41" s="144"/>
      <c r="B41" s="144"/>
      <c r="C41" s="144"/>
      <c r="D41" s="144"/>
      <c r="E41" s="144"/>
      <c r="F41" s="143"/>
      <c r="G41" s="143"/>
      <c r="H41" s="143"/>
      <c r="I41" s="143"/>
    </row>
    <row r="42" spans="1:10" ht="15">
      <c r="A42" s="143"/>
      <c r="B42" s="143"/>
      <c r="C42" s="143"/>
      <c r="D42" s="143"/>
      <c r="E42" s="143"/>
      <c r="F42" s="143"/>
      <c r="G42" s="143"/>
      <c r="H42" s="143"/>
      <c r="I42" s="143"/>
    </row>
    <row r="43" spans="1:10" ht="15">
      <c r="A43" s="143"/>
      <c r="B43" s="143"/>
      <c r="C43" s="143"/>
      <c r="D43" s="143"/>
      <c r="E43" s="143"/>
      <c r="F43" s="143"/>
      <c r="G43" s="143"/>
      <c r="H43" s="143"/>
      <c r="I43" s="143"/>
    </row>
    <row r="44" spans="1:10" ht="14.25">
      <c r="A44" s="145"/>
      <c r="B44" s="145"/>
      <c r="C44" s="145"/>
      <c r="D44" s="145"/>
      <c r="E44" s="145"/>
      <c r="F44" s="145"/>
      <c r="G44" s="145"/>
      <c r="H44" s="145"/>
      <c r="I44" s="145"/>
    </row>
    <row r="45" spans="1:10" ht="14.25">
      <c r="A45" s="144"/>
      <c r="B45" s="144"/>
      <c r="C45" s="144"/>
      <c r="D45" s="144"/>
      <c r="E45" s="144"/>
      <c r="F45" s="144"/>
      <c r="G45" s="144"/>
      <c r="H45" s="144"/>
      <c r="I45" s="144"/>
    </row>
    <row r="46" spans="1:10" ht="14.25">
      <c r="A46" s="144"/>
      <c r="B46" s="144"/>
      <c r="C46" s="144"/>
      <c r="D46" s="144"/>
      <c r="E46" s="144"/>
      <c r="F46" s="144"/>
      <c r="G46" s="144"/>
      <c r="H46" s="144"/>
      <c r="I46" s="144"/>
    </row>
    <row r="47" spans="1:10" ht="14.25">
      <c r="A47" s="144"/>
      <c r="B47" s="144"/>
      <c r="C47" s="144"/>
      <c r="D47" s="144"/>
      <c r="E47" s="144"/>
      <c r="F47" s="144"/>
      <c r="G47" s="144"/>
      <c r="H47" s="144"/>
      <c r="I47" s="144"/>
    </row>
    <row r="48" spans="1:10" ht="14.25">
      <c r="A48" s="144"/>
      <c r="B48" s="144"/>
      <c r="C48" s="144"/>
      <c r="D48" s="144"/>
      <c r="E48" s="144"/>
      <c r="F48" s="144"/>
      <c r="G48" s="144"/>
      <c r="H48" s="144"/>
      <c r="I48" s="144"/>
    </row>
    <row r="49" spans="1:9" ht="14.25">
      <c r="A49" s="144"/>
      <c r="B49" s="144"/>
      <c r="C49" s="144"/>
      <c r="D49" s="144"/>
      <c r="E49" s="144"/>
      <c r="F49" s="144"/>
      <c r="G49" s="144"/>
      <c r="H49" s="144"/>
      <c r="I49" s="144"/>
    </row>
    <row r="50" spans="1:9" ht="14.25">
      <c r="A50" s="144"/>
      <c r="B50" s="144"/>
      <c r="C50" s="144"/>
      <c r="D50" s="144"/>
      <c r="E50" s="144"/>
      <c r="F50" s="144"/>
      <c r="G50" s="144"/>
      <c r="H50" s="144"/>
      <c r="I50" s="144"/>
    </row>
    <row r="51" spans="1:9" ht="14.25">
      <c r="A51" s="144"/>
      <c r="B51" s="144"/>
      <c r="C51" s="144"/>
      <c r="D51" s="144"/>
      <c r="E51" s="144"/>
      <c r="F51" s="144"/>
      <c r="G51" s="144"/>
      <c r="H51" s="144"/>
      <c r="I51" s="144"/>
    </row>
  </sheetData>
  <mergeCells count="9">
    <mergeCell ref="A1:J1"/>
    <mergeCell ref="A14:J14"/>
    <mergeCell ref="A20:A21"/>
    <mergeCell ref="A31:A32"/>
    <mergeCell ref="A34:A35"/>
    <mergeCell ref="A26:J26"/>
    <mergeCell ref="A23:A24"/>
    <mergeCell ref="A7:A8"/>
    <mergeCell ref="A10:A11"/>
  </mergeCells>
  <printOptions horizontalCentered="1" gridLines="1"/>
  <pageMargins left="0.36" right="0.5" top="1" bottom="0.75" header="0.5" footer="0.5"/>
  <pageSetup paperSize="9" scale="61"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B5AED-798D-40D2-A320-B8FF2FEB72DB}">
  <sheetPr codeName="Sheet41"/>
  <dimension ref="A1:C16"/>
  <sheetViews>
    <sheetView showGridLines="0" workbookViewId="0">
      <selection activeCell="J14" sqref="J14"/>
    </sheetView>
  </sheetViews>
  <sheetFormatPr defaultRowHeight="15"/>
  <cols>
    <col min="1" max="1" width="51.5703125" customWidth="1"/>
    <col min="2" max="2" width="15.85546875" customWidth="1"/>
    <col min="3" max="3" width="11.85546875" customWidth="1"/>
    <col min="5" max="5" width="11" bestFit="1" customWidth="1"/>
  </cols>
  <sheetData>
    <row r="1" spans="1:3">
      <c r="A1" s="1140" t="s">
        <v>421</v>
      </c>
      <c r="B1" s="1140"/>
      <c r="C1" s="1140"/>
    </row>
    <row r="2" spans="1:3">
      <c r="A2" s="491"/>
      <c r="B2" s="492" t="s">
        <v>422</v>
      </c>
      <c r="C2" s="492" t="s">
        <v>423</v>
      </c>
    </row>
    <row r="3" spans="1:3">
      <c r="A3" s="63" t="s">
        <v>424</v>
      </c>
      <c r="B3" s="58" t="s">
        <v>434</v>
      </c>
      <c r="C3" s="235">
        <v>20</v>
      </c>
    </row>
    <row r="4" spans="1:3">
      <c r="A4" s="63" t="s">
        <v>425</v>
      </c>
      <c r="B4" s="58" t="s">
        <v>434</v>
      </c>
      <c r="C4" s="235">
        <v>26</v>
      </c>
    </row>
    <row r="5" spans="1:3">
      <c r="A5" s="63" t="s">
        <v>426</v>
      </c>
      <c r="B5" s="58" t="s">
        <v>434</v>
      </c>
      <c r="C5" s="235">
        <v>6</v>
      </c>
    </row>
    <row r="6" spans="1:3">
      <c r="A6" s="63" t="s">
        <v>427</v>
      </c>
      <c r="B6" s="58" t="s">
        <v>435</v>
      </c>
      <c r="C6" s="235">
        <v>350</v>
      </c>
    </row>
    <row r="7" spans="1:3">
      <c r="A7" s="63" t="s">
        <v>428</v>
      </c>
      <c r="B7" s="58" t="s">
        <v>436</v>
      </c>
      <c r="C7" s="235">
        <v>350</v>
      </c>
    </row>
    <row r="8" spans="1:3">
      <c r="A8" s="63" t="s">
        <v>429</v>
      </c>
      <c r="B8" s="58" t="s">
        <v>436</v>
      </c>
      <c r="C8" s="235">
        <v>350</v>
      </c>
    </row>
    <row r="9" spans="1:3">
      <c r="A9" s="63" t="s">
        <v>430</v>
      </c>
      <c r="B9" s="58" t="s">
        <v>440</v>
      </c>
      <c r="C9" s="235">
        <v>2800</v>
      </c>
    </row>
    <row r="10" spans="1:3">
      <c r="A10" s="63" t="s">
        <v>431</v>
      </c>
      <c r="B10" s="58" t="s">
        <v>441</v>
      </c>
      <c r="C10" s="235">
        <v>6</v>
      </c>
    </row>
    <row r="11" spans="1:3">
      <c r="A11" s="63" t="s">
        <v>432</v>
      </c>
      <c r="B11" s="58" t="s">
        <v>439</v>
      </c>
      <c r="C11" s="235">
        <v>6</v>
      </c>
    </row>
    <row r="12" spans="1:3">
      <c r="A12" s="63" t="s">
        <v>433</v>
      </c>
      <c r="B12" s="1"/>
      <c r="C12" s="235">
        <v>1</v>
      </c>
    </row>
    <row r="13" spans="1:3">
      <c r="A13" s="34" t="s">
        <v>437</v>
      </c>
      <c r="B13" s="236" t="s">
        <v>438</v>
      </c>
      <c r="C13" s="336">
        <v>10</v>
      </c>
    </row>
    <row r="14" spans="1:3">
      <c r="A14" s="1"/>
      <c r="B14" s="58"/>
      <c r="C14" s="1"/>
    </row>
    <row r="15" spans="1:3">
      <c r="A15" s="1"/>
      <c r="B15" s="1"/>
      <c r="C15" s="1"/>
    </row>
    <row r="16" spans="1:3">
      <c r="A16" s="1"/>
      <c r="B16" s="1"/>
      <c r="C16" s="1"/>
    </row>
  </sheetData>
  <mergeCells count="1">
    <mergeCell ref="A1:C1"/>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14C3B-0FE4-4F15-A413-FB235A16C512}">
  <sheetPr codeName="Sheet13"/>
  <dimension ref="A1:Y15"/>
  <sheetViews>
    <sheetView showGridLines="0" workbookViewId="0">
      <selection activeCell="I17" sqref="I17"/>
    </sheetView>
  </sheetViews>
  <sheetFormatPr defaultRowHeight="15"/>
  <cols>
    <col min="1" max="1" width="33.140625" bestFit="1" customWidth="1"/>
    <col min="2" max="2" width="22.5703125" bestFit="1" customWidth="1"/>
    <col min="4" max="4" width="13.7109375" customWidth="1"/>
    <col min="5" max="5" width="18.28515625" bestFit="1" customWidth="1"/>
    <col min="6" max="7" width="16.5703125" bestFit="1" customWidth="1"/>
    <col min="8" max="14" width="15.5703125" bestFit="1" customWidth="1"/>
    <col min="15" max="15" width="13.5703125" bestFit="1" customWidth="1"/>
    <col min="16" max="23" width="11" bestFit="1" customWidth="1"/>
  </cols>
  <sheetData>
    <row r="1" spans="1:25">
      <c r="A1" s="1141"/>
      <c r="B1" s="1142"/>
      <c r="C1" s="1142"/>
      <c r="D1" s="1142"/>
      <c r="E1" s="49">
        <v>1</v>
      </c>
      <c r="F1" s="49">
        <v>2</v>
      </c>
      <c r="G1" s="49">
        <v>3</v>
      </c>
      <c r="H1" s="49">
        <v>4</v>
      </c>
      <c r="I1" s="49">
        <v>5</v>
      </c>
      <c r="J1" s="49">
        <v>6</v>
      </c>
      <c r="K1" s="50">
        <v>7</v>
      </c>
      <c r="L1" s="49">
        <v>8</v>
      </c>
      <c r="M1" s="50">
        <v>9</v>
      </c>
      <c r="N1" s="49">
        <v>10</v>
      </c>
      <c r="O1" s="49">
        <v>11</v>
      </c>
      <c r="P1" s="49">
        <v>12</v>
      </c>
      <c r="Q1" s="49">
        <v>13</v>
      </c>
      <c r="R1" s="49">
        <v>14</v>
      </c>
      <c r="S1" s="49">
        <v>15</v>
      </c>
      <c r="T1" s="49">
        <v>16</v>
      </c>
      <c r="U1" s="49">
        <v>17</v>
      </c>
      <c r="V1" s="49">
        <v>18</v>
      </c>
      <c r="W1" s="49">
        <v>19</v>
      </c>
    </row>
    <row r="2" spans="1:25">
      <c r="A2" s="51" t="s">
        <v>41</v>
      </c>
      <c r="B2" s="17"/>
      <c r="C2" s="18"/>
      <c r="E2" s="17"/>
      <c r="F2" s="17"/>
      <c r="G2" s="17"/>
      <c r="H2" s="17"/>
      <c r="I2" s="17"/>
      <c r="J2" s="17"/>
      <c r="K2" s="17"/>
      <c r="L2" s="17"/>
      <c r="M2" s="17"/>
      <c r="N2" s="17"/>
    </row>
    <row r="3" spans="1:25">
      <c r="A3" s="52"/>
      <c r="B3" s="18" t="s">
        <v>42</v>
      </c>
      <c r="C3" s="17" t="s">
        <v>43</v>
      </c>
      <c r="E3" s="21">
        <v>30</v>
      </c>
      <c r="F3" s="21">
        <v>30</v>
      </c>
      <c r="G3" s="21">
        <v>30</v>
      </c>
      <c r="H3" s="21">
        <v>30</v>
      </c>
      <c r="I3" s="21">
        <v>30</v>
      </c>
      <c r="J3" s="21">
        <v>30</v>
      </c>
      <c r="K3" s="21">
        <v>30</v>
      </c>
      <c r="L3" s="21">
        <v>30</v>
      </c>
      <c r="M3" s="21">
        <v>30</v>
      </c>
      <c r="N3" s="21">
        <v>30</v>
      </c>
      <c r="O3" s="21">
        <v>30</v>
      </c>
      <c r="P3" s="21">
        <v>30</v>
      </c>
      <c r="Q3" s="21">
        <v>30</v>
      </c>
      <c r="R3" s="21">
        <v>30</v>
      </c>
      <c r="S3" s="21">
        <v>30</v>
      </c>
      <c r="T3" s="21">
        <v>30</v>
      </c>
      <c r="U3" s="21">
        <v>30</v>
      </c>
      <c r="V3" s="21">
        <v>30</v>
      </c>
      <c r="W3" s="21">
        <v>30</v>
      </c>
    </row>
    <row r="4" spans="1:25">
      <c r="A4" s="52"/>
      <c r="B4" s="18" t="s">
        <v>44</v>
      </c>
      <c r="C4" s="17"/>
      <c r="E4" s="19">
        <f>'Cashflow 350 KTPA'!H10</f>
        <v>1831.362974583333</v>
      </c>
      <c r="F4" s="19">
        <f>'Cashflow 350 KTPA'!I10</f>
        <v>2490.0937716096746</v>
      </c>
      <c r="G4" s="19">
        <f>'Cashflow 350 KTPA'!J10</f>
        <v>2925.9708524756611</v>
      </c>
      <c r="H4" s="19">
        <f>'Cashflow 350 KTPA'!K10</f>
        <v>3094.3312153271104</v>
      </c>
      <c r="I4" s="19">
        <f>'Cashflow 350 KTPA'!L10</f>
        <v>3272.3790334570317</v>
      </c>
      <c r="J4" s="19">
        <f>'Cashflow 350 KTPA'!M10</f>
        <v>3460.6717230421491</v>
      </c>
      <c r="K4" s="19">
        <f>'Cashflow 350 KTPA'!N10</f>
        <v>3659.7987739859932</v>
      </c>
      <c r="L4" s="19">
        <f>'Cashflow 350 KTPA'!O10</f>
        <v>3870.3835954411475</v>
      </c>
      <c r="M4" s="19">
        <f>'Cashflow 350 KTPA'!P10</f>
        <v>4093.0854675228293</v>
      </c>
      <c r="N4" s="19">
        <f>'Cashflow 350 KTPA'!Q10</f>
        <v>4328.6016053240928</v>
      </c>
      <c r="O4" s="19">
        <f>'Cashflow 350 KTPA'!R10</f>
        <v>4577.6693416944408</v>
      </c>
      <c r="P4" s="19">
        <f>'Cashflow 350 KTPA'!S10</f>
        <v>4841.0684356155389</v>
      </c>
      <c r="Q4" s="19">
        <f>'Cashflow 350 KTPA'!T10</f>
        <v>5119.6235134008557</v>
      </c>
      <c r="R4" s="19">
        <f>'Cashflow 350 KTPA'!U10</f>
        <v>5414.2066503619417</v>
      </c>
      <c r="S4" s="19">
        <f>'Cashflow 350 KTPA'!V10</f>
        <v>5725.7401010237663</v>
      </c>
      <c r="T4" s="19">
        <f>'Cashflow 350 KTPA'!W10</f>
        <v>6055.1991864366746</v>
      </c>
      <c r="U4" s="19">
        <f>'Cashflow 350 KTPA'!X10</f>
        <v>6403.615347624238</v>
      </c>
      <c r="V4" s="19">
        <f>'Cashflow 350 KTPA'!Y10</f>
        <v>6772.0793747265361</v>
      </c>
      <c r="W4" s="19">
        <f>'Cashflow 350 KTPA'!Z10</f>
        <v>7161.7448219482994</v>
      </c>
    </row>
    <row r="5" spans="1:25">
      <c r="A5" s="52"/>
      <c r="B5" s="18" t="s">
        <v>45</v>
      </c>
      <c r="C5" s="17"/>
      <c r="E5" s="19">
        <f>+E4/365*E3</f>
        <v>150.52298421232874</v>
      </c>
      <c r="F5" s="19">
        <f t="shared" ref="F5:W5" si="0">+F4/365*F3</f>
        <v>204.66524150216506</v>
      </c>
      <c r="G5" s="19">
        <f t="shared" si="0"/>
        <v>240.49075499799955</v>
      </c>
      <c r="H5" s="19">
        <f t="shared" si="0"/>
        <v>254.32859304058439</v>
      </c>
      <c r="I5" s="19">
        <f t="shared" si="0"/>
        <v>268.96266028413959</v>
      </c>
      <c r="J5" s="19">
        <f t="shared" si="0"/>
        <v>284.43877175688897</v>
      </c>
      <c r="K5" s="19">
        <f t="shared" si="0"/>
        <v>300.80537868378025</v>
      </c>
      <c r="L5" s="19">
        <f t="shared" si="0"/>
        <v>318.11372017324499</v>
      </c>
      <c r="M5" s="19">
        <f t="shared" si="0"/>
        <v>336.41798363201337</v>
      </c>
      <c r="N5" s="19">
        <f t="shared" si="0"/>
        <v>355.77547441019942</v>
      </c>
      <c r="O5" s="19">
        <f t="shared" si="0"/>
        <v>376.24679520776226</v>
      </c>
      <c r="P5" s="19">
        <f t="shared" si="0"/>
        <v>397.89603580401689</v>
      </c>
      <c r="Q5" s="19">
        <f t="shared" si="0"/>
        <v>420.79097370417992</v>
      </c>
      <c r="R5" s="19">
        <f t="shared" si="0"/>
        <v>445.00328633111849</v>
      </c>
      <c r="S5" s="19">
        <f t="shared" si="0"/>
        <v>470.60877542661092</v>
      </c>
      <c r="T5" s="19">
        <f t="shared" si="0"/>
        <v>497.68760436465817</v>
      </c>
      <c r="U5" s="19">
        <f t="shared" si="0"/>
        <v>526.32454911980039</v>
      </c>
      <c r="V5" s="19">
        <f t="shared" si="0"/>
        <v>556.60926367615366</v>
      </c>
      <c r="W5" s="19">
        <f t="shared" si="0"/>
        <v>588.6365607080794</v>
      </c>
    </row>
    <row r="6" spans="1:25">
      <c r="A6" s="52"/>
      <c r="B6" s="17"/>
      <c r="C6" s="17"/>
      <c r="E6" s="17"/>
      <c r="F6" s="17"/>
      <c r="G6" s="17"/>
      <c r="H6" s="17">
        <v>0.05</v>
      </c>
      <c r="I6" s="17"/>
      <c r="J6" s="17"/>
      <c r="K6" s="17"/>
      <c r="L6" s="17"/>
      <c r="M6" s="17"/>
      <c r="N6" s="17"/>
    </row>
    <row r="7" spans="1:25">
      <c r="A7" s="51" t="s">
        <v>46</v>
      </c>
      <c r="B7" s="17"/>
      <c r="C7" s="18"/>
      <c r="E7" s="17"/>
      <c r="F7" s="17"/>
      <c r="G7" s="17"/>
      <c r="H7" s="17"/>
      <c r="I7" s="17"/>
      <c r="J7" s="17"/>
      <c r="K7" s="17"/>
      <c r="L7" s="17"/>
      <c r="M7" s="17"/>
      <c r="N7" s="17"/>
    </row>
    <row r="8" spans="1:25">
      <c r="A8" s="52"/>
      <c r="B8" s="18" t="s">
        <v>47</v>
      </c>
      <c r="C8" s="17" t="s">
        <v>43</v>
      </c>
      <c r="E8" s="21">
        <v>20</v>
      </c>
      <c r="F8" s="21">
        <v>20</v>
      </c>
      <c r="G8" s="21">
        <v>20</v>
      </c>
      <c r="H8" s="21">
        <v>20</v>
      </c>
      <c r="I8" s="21">
        <v>20</v>
      </c>
      <c r="J8" s="21">
        <v>20</v>
      </c>
      <c r="K8" s="21">
        <v>20</v>
      </c>
      <c r="L8" s="21">
        <v>20</v>
      </c>
      <c r="M8" s="21">
        <v>20</v>
      </c>
      <c r="N8" s="21">
        <v>20</v>
      </c>
      <c r="O8" s="21">
        <v>20</v>
      </c>
      <c r="P8" s="21">
        <v>20</v>
      </c>
      <c r="Q8" s="21">
        <v>20</v>
      </c>
      <c r="R8" s="21">
        <v>20</v>
      </c>
      <c r="S8" s="21">
        <v>20</v>
      </c>
      <c r="T8" s="21">
        <v>20</v>
      </c>
      <c r="U8" s="21">
        <v>20</v>
      </c>
      <c r="V8" s="21">
        <v>20</v>
      </c>
      <c r="W8" s="21">
        <v>20</v>
      </c>
    </row>
    <row r="9" spans="1:25">
      <c r="A9" s="52"/>
      <c r="B9" s="18" t="s">
        <v>48</v>
      </c>
      <c r="C9" s="17"/>
      <c r="E9" s="20">
        <f>'Cashflow 350 KTPA'!H20</f>
        <v>932.23678602710277</v>
      </c>
      <c r="F9" s="20">
        <f>'Cashflow 350 KTPA'!I20</f>
        <v>1165.227980749263</v>
      </c>
      <c r="G9" s="20">
        <f>'Cashflow 350 KTPA'!J20</f>
        <v>1327.4830894654915</v>
      </c>
      <c r="H9" s="20">
        <f>'Cashflow 350 KTPA'!K20</f>
        <v>1402.011308983919</v>
      </c>
      <c r="I9" s="20">
        <f>'Cashflow 350 KTPA'!L20</f>
        <v>1478.2965194678557</v>
      </c>
      <c r="J9" s="20">
        <f>'Cashflow 350 KTPA'!M20</f>
        <v>1559.9933128256891</v>
      </c>
      <c r="K9" s="20">
        <f>'Cashflow 350 KTPA'!N20</f>
        <v>1645.9450433250197</v>
      </c>
      <c r="L9" s="20">
        <f>'Cashflow 350 KTPA'!O20</f>
        <v>1737.1367293137926</v>
      </c>
      <c r="M9" s="20">
        <f>'Cashflow 350 KTPA'!P20</f>
        <v>1835.2195060042764</v>
      </c>
      <c r="N9" s="20">
        <f>'Cashflow 350 KTPA'!Q20</f>
        <v>1933.1452687027047</v>
      </c>
      <c r="O9" s="20">
        <f>'Cashflow 350 KTPA'!R20</f>
        <v>2037.4024233400214</v>
      </c>
      <c r="P9" s="20">
        <f>'Cashflow 350 KTPA'!S20</f>
        <v>2147.7559809820041</v>
      </c>
      <c r="Q9" s="20">
        <f>'Cashflow 350 KTPA'!T20</f>
        <v>2262.6644014402423</v>
      </c>
      <c r="R9" s="20">
        <f>'Cashflow 350 KTPA'!U20</f>
        <v>2383.4612344494285</v>
      </c>
      <c r="S9" s="20">
        <f>'Cashflow 350 KTPA'!V20</f>
        <v>2510.5963761308649</v>
      </c>
      <c r="T9" s="20">
        <f>'Cashflow 350 KTPA'!W20</f>
        <v>2646.8346433334023</v>
      </c>
      <c r="U9" s="20">
        <f>'Cashflow 350 KTPA'!X20</f>
        <v>2791.0889308949686</v>
      </c>
      <c r="V9" s="20">
        <f>'Cashflow 350 KTPA'!Y20</f>
        <v>2944.6453596866377</v>
      </c>
      <c r="W9" s="20">
        <f>'Cashflow 350 KTPA'!Z20</f>
        <v>3104.6778401243364</v>
      </c>
    </row>
    <row r="10" spans="1:25">
      <c r="A10" s="52"/>
      <c r="B10" s="18" t="s">
        <v>49</v>
      </c>
      <c r="C10" s="17"/>
      <c r="E10" s="19">
        <f>+E9/365*E8</f>
        <v>51.081467727512482</v>
      </c>
      <c r="F10" s="19">
        <f t="shared" ref="F10:W10" si="1">+F9/365*F8</f>
        <v>63.84810853420619</v>
      </c>
      <c r="G10" s="19">
        <f t="shared" si="1"/>
        <v>72.738799422766661</v>
      </c>
      <c r="H10" s="19">
        <f t="shared" si="1"/>
        <v>76.822537478570908</v>
      </c>
      <c r="I10" s="19">
        <f t="shared" si="1"/>
        <v>81.00254901193729</v>
      </c>
      <c r="J10" s="19">
        <f t="shared" si="1"/>
        <v>85.479085634284345</v>
      </c>
      <c r="K10" s="19">
        <f t="shared" si="1"/>
        <v>90.188769497261347</v>
      </c>
      <c r="L10" s="19">
        <f t="shared" si="1"/>
        <v>95.185574208974941</v>
      </c>
      <c r="M10" s="19">
        <f t="shared" si="1"/>
        <v>100.55997293174117</v>
      </c>
      <c r="N10" s="19">
        <f t="shared" si="1"/>
        <v>105.92576814809341</v>
      </c>
      <c r="O10" s="19">
        <f t="shared" si="1"/>
        <v>111.63848895013815</v>
      </c>
      <c r="P10" s="19">
        <f t="shared" si="1"/>
        <v>117.68525923189063</v>
      </c>
      <c r="Q10" s="19">
        <f t="shared" si="1"/>
        <v>123.98161103782149</v>
      </c>
      <c r="R10" s="19">
        <f t="shared" si="1"/>
        <v>130.60061558627007</v>
      </c>
      <c r="S10" s="19">
        <f t="shared" si="1"/>
        <v>137.56692471949944</v>
      </c>
      <c r="T10" s="19">
        <f t="shared" si="1"/>
        <v>145.03203525114532</v>
      </c>
      <c r="U10" s="19">
        <f t="shared" si="1"/>
        <v>152.93637977506677</v>
      </c>
      <c r="V10" s="19">
        <f t="shared" si="1"/>
        <v>161.35043066776095</v>
      </c>
      <c r="W10" s="19">
        <f t="shared" si="1"/>
        <v>170.1193337054431</v>
      </c>
      <c r="X10" s="19"/>
      <c r="Y10" s="19"/>
    </row>
    <row r="11" spans="1:25">
      <c r="A11" s="52"/>
      <c r="B11" s="17"/>
      <c r="C11" s="17"/>
      <c r="E11" s="17"/>
      <c r="F11" s="17"/>
      <c r="G11" s="17"/>
      <c r="H11" s="17"/>
      <c r="I11" s="17"/>
      <c r="J11" s="17"/>
      <c r="K11" s="17"/>
      <c r="L11" s="17"/>
      <c r="M11" s="17"/>
      <c r="N11" s="17"/>
    </row>
    <row r="12" spans="1:25">
      <c r="A12" s="51" t="s">
        <v>50</v>
      </c>
      <c r="B12" s="17"/>
      <c r="C12" s="18"/>
      <c r="E12" s="17"/>
      <c r="F12" s="17"/>
      <c r="G12" s="17"/>
      <c r="H12" s="17"/>
      <c r="I12" s="17"/>
      <c r="J12" s="17"/>
      <c r="K12" s="17"/>
      <c r="L12" s="17"/>
      <c r="M12" s="17"/>
      <c r="N12" s="17"/>
    </row>
    <row r="13" spans="1:25">
      <c r="A13" s="52"/>
      <c r="B13" s="18" t="s">
        <v>51</v>
      </c>
      <c r="C13" s="17" t="s">
        <v>43</v>
      </c>
      <c r="E13" s="21">
        <v>10</v>
      </c>
      <c r="F13" s="21">
        <v>10</v>
      </c>
      <c r="G13" s="21">
        <v>10</v>
      </c>
      <c r="H13" s="21">
        <v>10</v>
      </c>
      <c r="I13" s="21">
        <v>10</v>
      </c>
      <c r="J13" s="21">
        <v>10</v>
      </c>
      <c r="K13" s="21">
        <v>10</v>
      </c>
      <c r="L13" s="21">
        <v>10</v>
      </c>
      <c r="M13" s="21">
        <v>10</v>
      </c>
      <c r="N13" s="21">
        <v>10</v>
      </c>
      <c r="O13" s="21">
        <v>10</v>
      </c>
      <c r="P13" s="21">
        <v>10</v>
      </c>
      <c r="Q13" s="21">
        <v>10</v>
      </c>
      <c r="R13" s="21">
        <v>10</v>
      </c>
      <c r="S13" s="21">
        <v>10</v>
      </c>
      <c r="T13" s="21">
        <v>10</v>
      </c>
      <c r="U13" s="21">
        <v>10</v>
      </c>
      <c r="V13" s="21">
        <v>10</v>
      </c>
      <c r="W13" s="21">
        <v>10</v>
      </c>
    </row>
    <row r="14" spans="1:25">
      <c r="A14" s="52"/>
      <c r="B14" s="18" t="s">
        <v>52</v>
      </c>
      <c r="C14" s="17"/>
      <c r="E14" s="20">
        <f>-E9</f>
        <v>-932.23678602710277</v>
      </c>
      <c r="F14" s="20">
        <f t="shared" ref="F14:W14" si="2">-F9</f>
        <v>-1165.227980749263</v>
      </c>
      <c r="G14" s="20">
        <f t="shared" si="2"/>
        <v>-1327.4830894654915</v>
      </c>
      <c r="H14" s="20">
        <f t="shared" si="2"/>
        <v>-1402.011308983919</v>
      </c>
      <c r="I14" s="20">
        <f t="shared" si="2"/>
        <v>-1478.2965194678557</v>
      </c>
      <c r="J14" s="20">
        <f t="shared" si="2"/>
        <v>-1559.9933128256891</v>
      </c>
      <c r="K14" s="20">
        <f t="shared" si="2"/>
        <v>-1645.9450433250197</v>
      </c>
      <c r="L14" s="20">
        <f t="shared" si="2"/>
        <v>-1737.1367293137926</v>
      </c>
      <c r="M14" s="20">
        <f>-M9</f>
        <v>-1835.2195060042764</v>
      </c>
      <c r="N14" s="20">
        <f t="shared" si="2"/>
        <v>-1933.1452687027047</v>
      </c>
      <c r="O14" s="20">
        <f t="shared" si="2"/>
        <v>-2037.4024233400214</v>
      </c>
      <c r="P14" s="20">
        <f t="shared" si="2"/>
        <v>-2147.7559809820041</v>
      </c>
      <c r="Q14" s="20">
        <f t="shared" si="2"/>
        <v>-2262.6644014402423</v>
      </c>
      <c r="R14" s="20">
        <f t="shared" si="2"/>
        <v>-2383.4612344494285</v>
      </c>
      <c r="S14" s="20">
        <f t="shared" si="2"/>
        <v>-2510.5963761308649</v>
      </c>
      <c r="T14" s="20">
        <f t="shared" si="2"/>
        <v>-2646.8346433334023</v>
      </c>
      <c r="U14" s="20">
        <f t="shared" si="2"/>
        <v>-2791.0889308949686</v>
      </c>
      <c r="V14" s="20">
        <f t="shared" si="2"/>
        <v>-2944.6453596866377</v>
      </c>
      <c r="W14" s="20">
        <f t="shared" si="2"/>
        <v>-3104.6778401243364</v>
      </c>
    </row>
    <row r="15" spans="1:25">
      <c r="A15" s="53"/>
      <c r="B15" s="54" t="s">
        <v>52</v>
      </c>
      <c r="C15" s="55"/>
      <c r="D15" s="56"/>
      <c r="E15" s="57">
        <f>+E14/365*E13</f>
        <v>-25.540733863756241</v>
      </c>
      <c r="F15" s="57">
        <f t="shared" ref="F15:W15" si="3">+F14/365*F13</f>
        <v>-31.924054267103095</v>
      </c>
      <c r="G15" s="57">
        <f t="shared" si="3"/>
        <v>-36.36939971138333</v>
      </c>
      <c r="H15" s="57">
        <f t="shared" si="3"/>
        <v>-38.411268739285454</v>
      </c>
      <c r="I15" s="57">
        <f t="shared" si="3"/>
        <v>-40.501274505968645</v>
      </c>
      <c r="J15" s="57">
        <f t="shared" si="3"/>
        <v>-42.739542817142173</v>
      </c>
      <c r="K15" s="57">
        <f t="shared" si="3"/>
        <v>-45.094384748630674</v>
      </c>
      <c r="L15" s="57">
        <f t="shared" si="3"/>
        <v>-47.592787104487471</v>
      </c>
      <c r="M15" s="57">
        <f t="shared" si="3"/>
        <v>-50.279986465870586</v>
      </c>
      <c r="N15" s="57">
        <f t="shared" si="3"/>
        <v>-52.962884074046706</v>
      </c>
      <c r="O15" s="57">
        <f t="shared" si="3"/>
        <v>-55.819244475069077</v>
      </c>
      <c r="P15" s="57">
        <f t="shared" si="3"/>
        <v>-58.842629615945313</v>
      </c>
      <c r="Q15" s="57">
        <f t="shared" si="3"/>
        <v>-61.990805518910747</v>
      </c>
      <c r="R15" s="57">
        <f t="shared" si="3"/>
        <v>-65.300307793135033</v>
      </c>
      <c r="S15" s="57">
        <f t="shared" si="3"/>
        <v>-68.78346235974972</v>
      </c>
      <c r="T15" s="57">
        <f t="shared" si="3"/>
        <v>-72.516017625572658</v>
      </c>
      <c r="U15" s="57">
        <f t="shared" si="3"/>
        <v>-76.468189887533384</v>
      </c>
      <c r="V15" s="57">
        <f t="shared" si="3"/>
        <v>-80.675215333880473</v>
      </c>
      <c r="W15" s="57">
        <f t="shared" si="3"/>
        <v>-85.059666852721548</v>
      </c>
    </row>
  </sheetData>
  <mergeCells count="1">
    <mergeCell ref="A1:D1"/>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F9C00-9943-4EC0-96DD-8B077E015B6F}">
  <sheetPr codeName="Sheet15"/>
  <dimension ref="A1:I23"/>
  <sheetViews>
    <sheetView showGridLines="0" zoomScale="115" zoomScaleNormal="115" workbookViewId="0"/>
  </sheetViews>
  <sheetFormatPr defaultRowHeight="11.25"/>
  <cols>
    <col min="1" max="8" width="9.140625" style="290"/>
    <col min="9" max="9" width="23.5703125" style="290" customWidth="1"/>
    <col min="10" max="16384" width="9.140625" style="290"/>
  </cols>
  <sheetData>
    <row r="1" spans="1:9">
      <c r="A1" s="290" t="s">
        <v>222</v>
      </c>
    </row>
    <row r="2" spans="1:9">
      <c r="A2" s="290" t="s">
        <v>377</v>
      </c>
    </row>
    <row r="3" spans="1:9">
      <c r="A3" s="290" t="s">
        <v>122</v>
      </c>
    </row>
    <row r="4" spans="1:9">
      <c r="A4" s="290" t="s">
        <v>449</v>
      </c>
    </row>
    <row r="5" spans="1:9">
      <c r="A5" s="290" t="s">
        <v>123</v>
      </c>
    </row>
    <row r="6" spans="1:9">
      <c r="A6" s="290" t="s">
        <v>124</v>
      </c>
    </row>
    <row r="7" spans="1:9">
      <c r="A7" s="290" t="s">
        <v>125</v>
      </c>
    </row>
    <row r="8" spans="1:9">
      <c r="A8" s="290" t="s">
        <v>126</v>
      </c>
    </row>
    <row r="9" spans="1:9">
      <c r="A9" s="290" t="s">
        <v>127</v>
      </c>
    </row>
    <row r="10" spans="1:9">
      <c r="A10" s="290" t="s">
        <v>128</v>
      </c>
    </row>
    <row r="11" spans="1:9">
      <c r="A11" s="290" t="s">
        <v>129</v>
      </c>
    </row>
    <row r="12" spans="1:9" ht="13.5" customHeight="1">
      <c r="A12" s="1143" t="s">
        <v>376</v>
      </c>
      <c r="B12" s="1143"/>
      <c r="C12" s="1143"/>
      <c r="D12" s="1143"/>
      <c r="E12" s="1143"/>
      <c r="F12" s="1143"/>
      <c r="G12" s="1143"/>
      <c r="H12" s="1143"/>
      <c r="I12" s="1143"/>
    </row>
    <row r="13" spans="1:9">
      <c r="A13" s="290" t="s">
        <v>381</v>
      </c>
    </row>
    <row r="14" spans="1:9" ht="12.75" customHeight="1">
      <c r="A14" s="1143" t="s">
        <v>382</v>
      </c>
      <c r="B14" s="1143"/>
      <c r="C14" s="1143"/>
      <c r="D14" s="1143"/>
      <c r="E14" s="1143"/>
      <c r="F14" s="1143"/>
      <c r="G14" s="1143"/>
      <c r="H14" s="1143"/>
      <c r="I14" s="1143"/>
    </row>
    <row r="15" spans="1:9" ht="12.75" customHeight="1">
      <c r="A15" s="1143" t="s">
        <v>383</v>
      </c>
      <c r="B15" s="1143"/>
      <c r="C15" s="1143"/>
      <c r="D15" s="1143"/>
      <c r="E15" s="1143"/>
      <c r="F15" s="1143"/>
      <c r="G15" s="1143"/>
      <c r="H15" s="1143"/>
      <c r="I15" s="1143"/>
    </row>
    <row r="16" spans="1:9">
      <c r="A16" s="290" t="s">
        <v>384</v>
      </c>
    </row>
    <row r="17" spans="1:1">
      <c r="A17" s="290" t="s">
        <v>385</v>
      </c>
    </row>
    <row r="18" spans="1:1">
      <c r="A18" s="290" t="s">
        <v>386</v>
      </c>
    </row>
    <row r="19" spans="1:1">
      <c r="A19" s="290" t="s">
        <v>387</v>
      </c>
    </row>
    <row r="20" spans="1:1">
      <c r="A20" s="290" t="s">
        <v>378</v>
      </c>
    </row>
    <row r="21" spans="1:1">
      <c r="A21" s="290" t="s">
        <v>379</v>
      </c>
    </row>
    <row r="22" spans="1:1">
      <c r="A22" s="290" t="s">
        <v>380</v>
      </c>
    </row>
    <row r="23" spans="1:1">
      <c r="A23" s="290" t="s">
        <v>418</v>
      </c>
    </row>
  </sheetData>
  <mergeCells count="3">
    <mergeCell ref="A12:I12"/>
    <mergeCell ref="A14:I14"/>
    <mergeCell ref="A15:I15"/>
  </mergeCell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66D00-A6CA-42B9-AFD7-D90AF7B487E7}">
  <sheetPr codeName="Sheet42"/>
  <dimension ref="A1"/>
  <sheetViews>
    <sheetView showGridLines="0" topLeftCell="A11" workbookViewId="0">
      <selection activeCell="L31" sqref="L31"/>
    </sheetView>
  </sheetViews>
  <sheetFormatPr defaultRowHeight="1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63A89DF-BB95-480C-BDFA-0BE007097B2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47</vt:i4>
      </vt:variant>
      <vt:variant>
        <vt:lpstr>Named Ranges</vt:lpstr>
      </vt:variant>
      <vt:variant>
        <vt:i4>8</vt:i4>
      </vt:variant>
    </vt:vector>
  </HeadingPairs>
  <TitlesOfParts>
    <vt:vector size="55" baseType="lpstr">
      <vt:lpstr>Cover Page</vt:lpstr>
      <vt:lpstr>Sheet3</vt:lpstr>
      <vt:lpstr>Dashboard</vt:lpstr>
      <vt:lpstr>Background and Option Evaluated</vt:lpstr>
      <vt:lpstr>Scenario Phenol</vt:lpstr>
      <vt:lpstr>Financial Model (84 Months)</vt:lpstr>
      <vt:lpstr>Feed</vt:lpstr>
      <vt:lpstr>Products Output</vt:lpstr>
      <vt:lpstr>Cracker Yields</vt:lpstr>
      <vt:lpstr>Financial Model High Ethane</vt:lpstr>
      <vt:lpstr>Financial Model High Propane</vt:lpstr>
      <vt:lpstr>Financial Model Base Case</vt:lpstr>
      <vt:lpstr>Net Change in Margin</vt:lpstr>
      <vt:lpstr>Sales</vt:lpstr>
      <vt:lpstr>Capex</vt:lpstr>
      <vt:lpstr>Opex PVC</vt:lpstr>
      <vt:lpstr>Cashflow 350 KTPA</vt:lpstr>
      <vt:lpstr>Cashflow 500 KTPA</vt:lpstr>
      <vt:lpstr>Cashflow 500KT EDC VCM Cracking</vt:lpstr>
      <vt:lpstr>Cashflow - PVC Phenol Ethane</vt:lpstr>
      <vt:lpstr>Cashflow - PVC Phenol Propane</vt:lpstr>
      <vt:lpstr>Cashflow Phenol</vt:lpstr>
      <vt:lpstr>Salaries &amp; Wages Calculations</vt:lpstr>
      <vt:lpstr>Profitability</vt:lpstr>
      <vt:lpstr>Sensitivity-Profitability</vt:lpstr>
      <vt:lpstr>Annual COP</vt:lpstr>
      <vt:lpstr>Opex Phenol</vt:lpstr>
      <vt:lpstr>Profitability - Current</vt:lpstr>
      <vt:lpstr> Break EvenPoint</vt:lpstr>
      <vt:lpstr>BEP Sensitivity-350 KTPA</vt:lpstr>
      <vt:lpstr>BEP Sensitivity-500 KTPA</vt:lpstr>
      <vt:lpstr> Profitabilty_PVC Phenol (2 (3)</vt:lpstr>
      <vt:lpstr> Profitabilty_PVC Phenol (3)</vt:lpstr>
      <vt:lpstr> Profitabilty_PVC Phenol</vt:lpstr>
      <vt:lpstr>Sensitivity_PVC Phenol</vt:lpstr>
      <vt:lpstr>Cashflow Current</vt:lpstr>
      <vt:lpstr>Sensitivity-Profit Current Case</vt:lpstr>
      <vt:lpstr>Sensitivity Current Case</vt:lpstr>
      <vt:lpstr> Profitabilty_PVC Phenol 1</vt:lpstr>
      <vt:lpstr>DSCR-350 KTPA</vt:lpstr>
      <vt:lpstr>DSCR-PVC+Phenol</vt:lpstr>
      <vt:lpstr> Means of Fin</vt:lpstr>
      <vt:lpstr>Interest Calculation</vt:lpstr>
      <vt:lpstr>Requirement</vt:lpstr>
      <vt:lpstr>Working Sheet</vt:lpstr>
      <vt:lpstr>Basis</vt:lpstr>
      <vt:lpstr>Sheet1</vt:lpstr>
      <vt:lpstr>' Break EvenPoint'!Print_Area</vt:lpstr>
      <vt:lpstr>'BEP Sensitivity-350 KTPA'!Print_Area</vt:lpstr>
      <vt:lpstr>'BEP Sensitivity-500 KTPA'!Print_Area</vt:lpstr>
      <vt:lpstr>'DSCR-350 KTPA'!Print_Area</vt:lpstr>
      <vt:lpstr>'Interest Calculation'!Print_Area</vt:lpstr>
      <vt:lpstr>Profitability!Print_Area</vt:lpstr>
      <vt:lpstr>'Profitability - Current'!Print_Area</vt:lpstr>
      <vt:lpstr>'Sensitivity Current Case'!Print_Area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Pranav L. Shukla</dc:creator>
  <cp:lastModifiedBy>Hardik Malhotra</cp:lastModifiedBy>
  <cp:lastPrinted>2022-08-03T12:38:29Z</cp:lastPrinted>
  <dcterms:created xsi:type="dcterms:W3CDTF">2021-10-29T09:15:20Z</dcterms:created>
  <dcterms:modified xsi:type="dcterms:W3CDTF">2023-07-27T12:03:19Z</dcterms:modified>
</cp:coreProperties>
</file>